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drawings/drawing16.xml" ContentType="application/vnd.openxmlformats-officedocument.drawing+xml"/>
  <Override PartName="/xl/charts/chart2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7.xml" ContentType="application/vnd.openxmlformats-officedocument.drawing+xml"/>
  <Override PartName="/xl/charts/chart25.xml" ContentType="application/vnd.openxmlformats-officedocument.drawingml.chart+xml"/>
  <Override PartName="/xl/drawings/drawing18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9.xml" ContentType="application/vnd.openxmlformats-officedocument.drawing+xml"/>
  <Override PartName="/xl/charts/chart28.xml" ContentType="application/vnd.openxmlformats-officedocument.drawingml.chart+xml"/>
  <Override PartName="/xl/drawings/drawing20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21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2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23.xml" ContentType="application/vnd.openxmlformats-officedocument.drawing+xml"/>
  <Override PartName="/xl/charts/chart36.xml" ContentType="application/vnd.openxmlformats-officedocument.drawingml.chart+xml"/>
  <Override PartName="/xl/drawings/drawing24.xml" ContentType="application/vnd.openxmlformats-officedocument.drawing+xml"/>
  <Override PartName="/xl/charts/chart37.xml" ContentType="application/vnd.openxmlformats-officedocument.drawingml.chart+xml"/>
  <Override PartName="/xl/drawings/drawing25.xml" ContentType="application/vnd.openxmlformats-officedocument.drawing+xml"/>
  <Override PartName="/xl/charts/chart38.xml" ContentType="application/vnd.openxmlformats-officedocument.drawingml.chart+xml"/>
  <Override PartName="/xl/drawings/drawing26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7.xml" ContentType="application/vnd.openxmlformats-officedocument.drawing+xml"/>
  <Override PartName="/xl/charts/chart41.xml" ContentType="application/vnd.openxmlformats-officedocument.drawingml.chart+xml"/>
  <Override PartName="/xl/drawings/drawing28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9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0.xml" ContentType="application/vnd.openxmlformats-officedocument.drawing+xml"/>
  <Override PartName="/xl/charts/chart48.xml" ContentType="application/vnd.openxmlformats-officedocument.drawingml.chart+xml"/>
  <Override PartName="/xl/drawings/drawing31.xml" ContentType="application/vnd.openxmlformats-officedocument.drawingml.chartshapes+xml"/>
  <Override PartName="/xl/charts/chart49.xml" ContentType="application/vnd.openxmlformats-officedocument.drawingml.chart+xml"/>
  <Override PartName="/xl/drawings/drawing32.xml" ContentType="application/vnd.openxmlformats-officedocument.drawing+xml"/>
  <Override PartName="/xl/charts/chart50.xml" ContentType="application/vnd.openxmlformats-officedocument.drawingml.chart+xml"/>
  <Override PartName="/xl/drawings/drawing33.xml" ContentType="application/vnd.openxmlformats-officedocument.drawing+xml"/>
  <Override PartName="/xl/charts/chart5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4.xml" ContentType="application/vnd.openxmlformats-officedocument.drawing+xml"/>
  <Override PartName="/xl/charts/chart5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5.xml" ContentType="application/vnd.openxmlformats-officedocument.drawing+xml"/>
  <Override PartName="/xl/charts/chart5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6.xml" ContentType="application/vnd.openxmlformats-officedocument.drawing+xml"/>
  <Override PartName="/xl/charts/chart5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7.xml" ContentType="application/vnd.openxmlformats-officedocument.drawing+xml"/>
  <Override PartName="/xl/charts/chart5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8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39.xml" ContentType="application/vnd.openxmlformats-officedocument.drawing+xml"/>
  <Override PartName="/xl/charts/chart58.xml" ContentType="application/vnd.openxmlformats-officedocument.drawingml.chart+xml"/>
  <Override PartName="/xl/drawings/drawing40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drawings/drawing41.xml" ContentType="application/vnd.openxmlformats-officedocument.drawing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42.xml" ContentType="application/vnd.openxmlformats-officedocument.drawing+xml"/>
  <Override PartName="/xl/charts/chart64.xml" ContentType="application/vnd.openxmlformats-officedocument.drawingml.chart+xml"/>
  <Override PartName="/xl/drawings/drawing43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drawings/drawing44.xml" ContentType="application/vnd.openxmlformats-officedocument.drawing+xml"/>
  <Override PartName="/xl/charts/chart67.xml" ContentType="application/vnd.openxmlformats-officedocument.drawingml.chart+xml"/>
  <Override PartName="/xl/drawings/drawing45.xml" ContentType="application/vnd.openxmlformats-officedocument.drawing+xml"/>
  <Override PartName="/xl/charts/chart68.xml" ContentType="application/vnd.openxmlformats-officedocument.drawingml.chart+xml"/>
  <Override PartName="/xl/drawings/drawing46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47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48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drawings/drawing49.xml" ContentType="application/vnd.openxmlformats-officedocument.drawing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50.xml" ContentType="application/vnd.openxmlformats-officedocument.drawing+xml"/>
  <Override PartName="/xl/charts/chart7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1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52.xml" ContentType="application/vnd.openxmlformats-officedocument.drawing+xml"/>
  <Override PartName="/xl/charts/chart82.xml" ContentType="application/vnd.openxmlformats-officedocument.drawingml.chart+xml"/>
  <Override PartName="/xl/drawings/drawing53.xml" ContentType="application/vnd.openxmlformats-officedocument.drawing+xml"/>
  <Override PartName="/xl/charts/chart8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arles\Desktop\Real Stats\"/>
    </mc:Choice>
  </mc:AlternateContent>
  <bookViews>
    <workbookView xWindow="0" yWindow="0" windowWidth="15360" windowHeight="7755" tabRatio="794"/>
  </bookViews>
  <sheets>
    <sheet name="TOC0" sheetId="405" r:id="rId1"/>
    <sheet name="TOC" sheetId="1" r:id="rId2"/>
    <sheet name="Bar Chart" sheetId="2" r:id="rId3"/>
    <sheet name="Line Chart" sheetId="4" r:id="rId4"/>
    <sheet name="Line Chart 2" sheetId="481" r:id="rId5"/>
    <sheet name="Scatter Chart" sheetId="725" r:id="rId6"/>
    <sheet name="Step Chart" sheetId="686" r:id="rId7"/>
    <sheet name="Array Formula" sheetId="3" r:id="rId8"/>
    <sheet name="Array Function" sheetId="5" r:id="rId9"/>
    <sheet name="Sort Filter" sheetId="488" r:id="rId10"/>
    <sheet name="Seek" sheetId="557" r:id="rId11"/>
    <sheet name="Reformat 1" sheetId="555" r:id="rId12"/>
    <sheet name="Reformat 2" sheetId="556" r:id="rId13"/>
    <sheet name="Sort Rows" sheetId="457" r:id="rId14"/>
    <sheet name="Extract" sheetId="413" r:id="rId15"/>
    <sheet name="Select Col" sheetId="464" r:id="rId16"/>
    <sheet name="Misc" sheetId="639" r:id="rId17"/>
    <sheet name="Step Chart 1" sheetId="687" r:id="rId18"/>
    <sheet name="Prob 0" sheetId="377" r:id="rId19"/>
    <sheet name="Prob 1" sheetId="6" r:id="rId20"/>
    <sheet name="Prob 2" sheetId="7" r:id="rId21"/>
    <sheet name="Central" sheetId="482" r:id="rId22"/>
    <sheet name="Geo Mean" sheetId="8" r:id="rId23"/>
    <sheet name="Var" sheetId="483" r:id="rId24"/>
    <sheet name="Combined" sheetId="9" r:id="rId25"/>
    <sheet name="Combined 2" sheetId="708" r:id="rId26"/>
    <sheet name="SKEW" sheetId="485" r:id="rId27"/>
    <sheet name="Rank 0" sheetId="484" r:id="rId28"/>
    <sheet name="Rank 1" sheetId="10" r:id="rId29"/>
    <sheet name="Rank 2" sheetId="712" r:id="rId30"/>
    <sheet name="Desc 1" sheetId="11" r:id="rId31"/>
    <sheet name="Desc 2" sheetId="12" r:id="rId32"/>
    <sheet name="Freq" sheetId="13" r:id="rId33"/>
    <sheet name="Freq 2" sheetId="368" r:id="rId34"/>
    <sheet name="Histogram" sheetId="15" r:id="rId35"/>
    <sheet name="Box Plot 1" sheetId="21" r:id="rId36"/>
    <sheet name="Box Plot 2" sheetId="22" r:id="rId37"/>
    <sheet name="Box Plot 3" sheetId="239" r:id="rId38"/>
    <sheet name="Box Plot 4" sheetId="705" r:id="rId39"/>
    <sheet name="Box Plot 5" sheetId="706" r:id="rId40"/>
    <sheet name="Box Plot 6" sheetId="707" r:id="rId41"/>
    <sheet name="Dot 1" sheetId="749" r:id="rId42"/>
    <sheet name="Dot 2" sheetId="750" r:id="rId43"/>
    <sheet name="ROC" sheetId="621" r:id="rId44"/>
    <sheet name="ROC 1" sheetId="622" r:id="rId45"/>
    <sheet name="AUC" sheetId="744" r:id="rId46"/>
    <sheet name="Winsor" sheetId="553" r:id="rId47"/>
    <sheet name="Missing" sheetId="415" r:id="rId48"/>
    <sheet name="Diversity 1" sheetId="702" r:id="rId49"/>
    <sheet name="Diversity 2" sheetId="701" r:id="rId50"/>
    <sheet name="Diversity 3" sheetId="700" r:id="rId51"/>
    <sheet name="Power" sheetId="16" r:id="rId52"/>
    <sheet name="Normal 1" sheetId="17" r:id="rId53"/>
    <sheet name="Normal 2" sheetId="315" r:id="rId54"/>
    <sheet name="Log-Norm 1" sheetId="640" r:id="rId55"/>
    <sheet name="Log-Norm 2" sheetId="641" r:id="rId56"/>
    <sheet name="1 Sample Z 1" sheetId="319" r:id="rId57"/>
    <sheet name="1 Sample Z 2" sheetId="320" r:id="rId58"/>
    <sheet name="2 Sample Z" sheetId="325" r:id="rId59"/>
    <sheet name="Uniform Sample" sheetId="332" r:id="rId60"/>
    <sheet name="Poisson Sample" sheetId="331" r:id="rId61"/>
    <sheet name="Simulation 1" sheetId="333" r:id="rId62"/>
    <sheet name="Simulation 2" sheetId="334" r:id="rId63"/>
    <sheet name="Random" sheetId="695" r:id="rId64"/>
    <sheet name="Sampling 1" sheetId="328" r:id="rId65"/>
    <sheet name="Sampling 2" sheetId="330" r:id="rId66"/>
    <sheet name="Norm Power 1" sheetId="233" r:id="rId67"/>
    <sheet name="Norm Power 2" sheetId="566" r:id="rId68"/>
    <sheet name="Norm Power 3" sheetId="567" r:id="rId69"/>
    <sheet name="Norm Power 4" sheetId="568" r:id="rId70"/>
    <sheet name="Norm Power 5" sheetId="569" r:id="rId71"/>
    <sheet name="Outlier" sheetId="713" r:id="rId72"/>
    <sheet name="Outlier 1" sheetId="682" r:id="rId73"/>
    <sheet name="Binomial 1" sheetId="23" r:id="rId74"/>
    <sheet name="Binomial 2" sheetId="307" r:id="rId75"/>
    <sheet name="Binomial 3" sheetId="363" r:id="rId76"/>
    <sheet name="Binomial 4" sheetId="689" r:id="rId77"/>
    <sheet name="Prop" sheetId="366" r:id="rId78"/>
    <sheet name="NegBinom" sheetId="562" r:id="rId79"/>
    <sheet name="Hypgeom" sheetId="563" r:id="rId80"/>
    <sheet name="Beta" sheetId="365" r:id="rId81"/>
    <sheet name="Multinom" sheetId="316" r:id="rId82"/>
    <sheet name="Poisson 1" sheetId="317" r:id="rId83"/>
    <sheet name="Poisson 2" sheetId="318" r:id="rId84"/>
    <sheet name="Poisson 3" sheetId="699" r:id="rId85"/>
    <sheet name="Runs" sheetId="480" r:id="rId86"/>
    <sheet name="Bin Power 1" sheetId="564" r:id="rId87"/>
    <sheet name="Bin Power 2" sheetId="565" r:id="rId88"/>
    <sheet name="Bin Power 3" sheetId="570" r:id="rId89"/>
    <sheet name="Gamma" sheetId="561" r:id="rId90"/>
    <sheet name="Expon" sheetId="560" r:id="rId91"/>
    <sheet name="Expon 1" sheetId="674" r:id="rId92"/>
    <sheet name="Uniform" sheetId="559" r:id="rId93"/>
    <sheet name="Weibull A" sheetId="731" r:id="rId94"/>
    <sheet name="Weibull B" sheetId="732" r:id="rId95"/>
    <sheet name="Weibull" sheetId="364" r:id="rId96"/>
    <sheet name="Weibull 1" sheetId="684" r:id="rId97"/>
    <sheet name="Weibull 2" sheetId="736" r:id="rId98"/>
    <sheet name="Weibull 3" sheetId="733" r:id="rId99"/>
    <sheet name="Fit Exp" sheetId="704" r:id="rId100"/>
    <sheet name="Fit Weibull" sheetId="703" r:id="rId101"/>
    <sheet name="Fit Wei" sheetId="716" r:id="rId102"/>
    <sheet name="Fit Beta" sheetId="723" r:id="rId103"/>
    <sheet name="Fit Uniform" sheetId="715" r:id="rId104"/>
    <sheet name="MLE Wei" sheetId="720" r:id="rId105"/>
    <sheet name="MLE Wei 1" sheetId="719" r:id="rId106"/>
    <sheet name="MLE Wei 2" sheetId="734" r:id="rId107"/>
    <sheet name="MLE Wei 3" sheetId="735" r:id="rId108"/>
    <sheet name="MLE Gamma" sheetId="724" r:id="rId109"/>
    <sheet name="MLE Beta" sheetId="721" r:id="rId110"/>
    <sheet name="MLE Uniform" sheetId="717" r:id="rId111"/>
    <sheet name="Reg Wei" sheetId="722" r:id="rId112"/>
    <sheet name="T Dist" sheetId="24" r:id="rId113"/>
    <sheet name="T Dist 2" sheetId="571" r:id="rId114"/>
    <sheet name="1 Sample T 1" sheetId="25" r:id="rId115"/>
    <sheet name="1 Sample T 2" sheetId="26" r:id="rId116"/>
    <sheet name="1 Sample T 2a" sheetId="745" r:id="rId117"/>
    <sheet name="1 Sample T 3" sheetId="737" r:id="rId118"/>
    <sheet name="T Power 1" sheetId="538" r:id="rId119"/>
    <sheet name="T Power 2" sheetId="248" r:id="rId120"/>
    <sheet name="T Power 3" sheetId="246" r:id="rId121"/>
    <sheet name="T Power 4" sheetId="541" r:id="rId122"/>
    <sheet name="T Power 5" sheetId="542" r:id="rId123"/>
    <sheet name="T Power 6" sheetId="540" r:id="rId124"/>
    <sheet name="2 Sample T 1" sheetId="738" r:id="rId125"/>
    <sheet name="2 Sample T 2" sheetId="29" r:id="rId126"/>
    <sheet name="2 Sample T 3" sheetId="30" r:id="rId127"/>
    <sheet name="2 Sample T 4" sheetId="746" r:id="rId128"/>
    <sheet name="2P Sample T 1" sheetId="31" r:id="rId129"/>
    <sheet name="2P Sample T1a" sheetId="666" r:id="rId130"/>
    <sheet name="2P Sample T 2" sheetId="32" r:id="rId131"/>
    <sheet name="2P Sample T 3" sheetId="747" r:id="rId132"/>
    <sheet name="2P Sample T 3a" sheetId="748" r:id="rId133"/>
    <sheet name="Trim T" sheetId="742" r:id="rId134"/>
    <sheet name="Yuen" sheetId="743" r:id="rId135"/>
    <sheet name="NT 1" sheetId="535" r:id="rId136"/>
    <sheet name="NT 2" sheetId="625" r:id="rId137"/>
    <sheet name="COV 1" sheetId="711" r:id="rId138"/>
    <sheet name="COV 2" sheetId="710" r:id="rId139"/>
    <sheet name="Grubbs" sheetId="609" r:id="rId140"/>
    <sheet name="ESD" sheetId="610" r:id="rId141"/>
    <sheet name="Chi-Sq" sheetId="44" r:id="rId142"/>
    <sheet name="Chi-Sq 0" sheetId="714" r:id="rId143"/>
    <sheet name="Shape" sheetId="692" r:id="rId144"/>
    <sheet name="1 Sample Var" sheetId="46" r:id="rId145"/>
    <sheet name="Good Fit 0" sheetId="376" r:id="rId146"/>
    <sheet name="Good Fit 1" sheetId="48" r:id="rId147"/>
    <sheet name="Good Fit 2" sheetId="45" r:id="rId148"/>
    <sheet name="Good Fit 3" sheetId="47" r:id="rId149"/>
    <sheet name="Dispers" sheetId="681" r:id="rId150"/>
    <sheet name="Chi-Sq 1" sheetId="50" r:id="rId151"/>
    <sheet name="Chi-Sq 2" sheetId="49" r:id="rId152"/>
    <sheet name="Chi-Sq 3" sheetId="52" r:id="rId153"/>
    <sheet name="Chi-Sq 4" sheetId="498" r:id="rId154"/>
    <sheet name="Chi-Sq 5" sheetId="729" r:id="rId155"/>
    <sheet name="Fisher" sheetId="343" r:id="rId156"/>
    <sheet name="Fisher 2" sheetId="693" r:id="rId157"/>
    <sheet name="CMH" sheetId="726" r:id="rId158"/>
    <sheet name="CMH 1" sheetId="727" r:id="rId159"/>
    <sheet name="CMH 2" sheetId="728" r:id="rId160"/>
    <sheet name="F Dist" sheetId="644" r:id="rId161"/>
    <sheet name="F Test" sheetId="183" r:id="rId162"/>
    <sheet name="CI Var Ratio" sheetId="739" r:id="rId163"/>
    <sheet name="NCHI 1" sheetId="546" r:id="rId164"/>
    <sheet name="NCHI 2" sheetId="547" r:id="rId165"/>
    <sheet name="NCHI 3" sheetId="548" r:id="rId166"/>
    <sheet name="Power Var2" sheetId="549" r:id="rId167"/>
    <sheet name="Power Var2a" sheetId="645" r:id="rId168"/>
    <sheet name="NF 1" sheetId="536" r:id="rId169"/>
  </sheets>
  <definedNames>
    <definedName name="_xlnm._FilterDatabase" localSheetId="9" hidden="1">'Sort Filter'!$A$16:$D$25</definedName>
    <definedName name="solver_adj" localSheetId="106" hidden="1">'MLE Wei 2'!$D$6:$D$7</definedName>
    <definedName name="solver_adj" localSheetId="107" hidden="1">'MLE Wei 3'!$E$6:$E$7</definedName>
    <definedName name="solver_cvg" localSheetId="106" hidden="1">0.0001</definedName>
    <definedName name="solver_cvg" localSheetId="107" hidden="1">0.0001</definedName>
    <definedName name="solver_drv" localSheetId="106" hidden="1">1</definedName>
    <definedName name="solver_drv" localSheetId="107" hidden="1">1</definedName>
    <definedName name="solver_eng" localSheetId="106" hidden="1">1</definedName>
    <definedName name="solver_eng" localSheetId="107" hidden="1">1</definedName>
    <definedName name="solver_est" localSheetId="106" hidden="1">1</definedName>
    <definedName name="solver_est" localSheetId="107" hidden="1">1</definedName>
    <definedName name="solver_itr" localSheetId="106" hidden="1">2147483647</definedName>
    <definedName name="solver_itr" localSheetId="107" hidden="1">2147483647</definedName>
    <definedName name="solver_lhs1" localSheetId="107" hidden="1">'MLE Wei 3'!$E$6</definedName>
    <definedName name="solver_lhs2" localSheetId="107" hidden="1">'MLE Wei 3'!$E$7</definedName>
    <definedName name="solver_mip" localSheetId="106" hidden="1">2147483647</definedName>
    <definedName name="solver_mip" localSheetId="107" hidden="1">2147483647</definedName>
    <definedName name="solver_mni" localSheetId="106" hidden="1">30</definedName>
    <definedName name="solver_mni" localSheetId="107" hidden="1">30</definedName>
    <definedName name="solver_mrt" localSheetId="106" hidden="1">0.075</definedName>
    <definedName name="solver_mrt" localSheetId="107" hidden="1">0.075</definedName>
    <definedName name="solver_msl" localSheetId="106" hidden="1">2</definedName>
    <definedName name="solver_msl" localSheetId="107" hidden="1">2</definedName>
    <definedName name="solver_neg" localSheetId="106" hidden="1">2</definedName>
    <definedName name="solver_neg" localSheetId="107" hidden="1">2</definedName>
    <definedName name="solver_nod" localSheetId="106" hidden="1">2147483647</definedName>
    <definedName name="solver_nod" localSheetId="107" hidden="1">2147483647</definedName>
    <definedName name="solver_num" localSheetId="106" hidden="1">0</definedName>
    <definedName name="solver_num" localSheetId="107" hidden="1">2</definedName>
    <definedName name="solver_nwt" localSheetId="106" hidden="1">1</definedName>
    <definedName name="solver_nwt" localSheetId="107" hidden="1">1</definedName>
    <definedName name="solver_opt" localSheetId="106" hidden="1">'MLE Wei 2'!$D$12</definedName>
    <definedName name="solver_opt" localSheetId="107" hidden="1">'MLE Wei 3'!$E$11</definedName>
    <definedName name="solver_pre" localSheetId="106" hidden="1">0.000001</definedName>
    <definedName name="solver_pre" localSheetId="107" hidden="1">0.000001</definedName>
    <definedName name="solver_rbv" localSheetId="106" hidden="1">1</definedName>
    <definedName name="solver_rbv" localSheetId="107" hidden="1">1</definedName>
    <definedName name="solver_rel1" localSheetId="107" hidden="1">3</definedName>
    <definedName name="solver_rel2" localSheetId="107" hidden="1">3</definedName>
    <definedName name="solver_rhs1" localSheetId="107" hidden="1">0</definedName>
    <definedName name="solver_rhs2" localSheetId="107" hidden="1">0</definedName>
    <definedName name="solver_rlx" localSheetId="106" hidden="1">2</definedName>
    <definedName name="solver_rlx" localSheetId="107" hidden="1">2</definedName>
    <definedName name="solver_rsd" localSheetId="106" hidden="1">0</definedName>
    <definedName name="solver_rsd" localSheetId="107" hidden="1">0</definedName>
    <definedName name="solver_scl" localSheetId="106" hidden="1">1</definedName>
    <definedName name="solver_scl" localSheetId="107" hidden="1">1</definedName>
    <definedName name="solver_sho" localSheetId="106" hidden="1">2</definedName>
    <definedName name="solver_sho" localSheetId="107" hidden="1">2</definedName>
    <definedName name="solver_ssz" localSheetId="106" hidden="1">100</definedName>
    <definedName name="solver_ssz" localSheetId="107" hidden="1">100</definedName>
    <definedName name="solver_tim" localSheetId="106" hidden="1">2147483647</definedName>
    <definedName name="solver_tim" localSheetId="107" hidden="1">2147483647</definedName>
    <definedName name="solver_tol" localSheetId="106" hidden="1">0.01</definedName>
    <definedName name="solver_tol" localSheetId="107" hidden="1">0.01</definedName>
    <definedName name="solver_typ" localSheetId="106" hidden="1">1</definedName>
    <definedName name="solver_typ" localSheetId="107" hidden="1">1</definedName>
    <definedName name="solver_val" localSheetId="106" hidden="1">0</definedName>
    <definedName name="solver_val" localSheetId="107" hidden="1">0</definedName>
    <definedName name="solver_ver" localSheetId="106" hidden="1">3</definedName>
    <definedName name="solver_ver" localSheetId="107" hidden="1">3</definedName>
  </definedNames>
  <calcPr calcId="152511"/>
</workbook>
</file>

<file path=xl/calcChain.xml><?xml version="1.0" encoding="utf-8"?>
<calcChain xmlns="http://schemas.openxmlformats.org/spreadsheetml/2006/main">
  <c r="F3" i="749" l="1"/>
  <c r="H3" i="749"/>
  <c r="J3" i="749"/>
  <c r="F4" i="749"/>
  <c r="H4" i="749"/>
  <c r="J4" i="749"/>
  <c r="F5" i="749"/>
  <c r="H5" i="749"/>
  <c r="J5" i="749"/>
  <c r="F6" i="749"/>
  <c r="H6" i="749"/>
  <c r="J6" i="749"/>
  <c r="F7" i="749"/>
  <c r="H7" i="749"/>
  <c r="J7" i="749"/>
  <c r="F8" i="749"/>
  <c r="H8" i="749"/>
  <c r="J8" i="749"/>
  <c r="F9" i="749"/>
  <c r="H9" i="749"/>
  <c r="J9" i="749"/>
  <c r="F10" i="749"/>
  <c r="H10" i="749"/>
  <c r="J10" i="749"/>
  <c r="F11" i="749"/>
  <c r="H11" i="749"/>
  <c r="J11" i="749"/>
  <c r="F12" i="749"/>
  <c r="H12" i="749"/>
  <c r="J12" i="749"/>
  <c r="F13" i="749"/>
  <c r="H13" i="749"/>
  <c r="J13" i="749"/>
  <c r="A15" i="749"/>
  <c r="B15" i="749"/>
  <c r="C15" i="749"/>
  <c r="F109" i="536"/>
  <c r="B109" i="536"/>
  <c r="C108" i="536"/>
  <c r="D107" i="536"/>
  <c r="E106" i="536"/>
  <c r="F105" i="536"/>
  <c r="B105" i="536"/>
  <c r="C104" i="536"/>
  <c r="D103" i="536"/>
  <c r="E102" i="536"/>
  <c r="F101" i="536"/>
  <c r="B101" i="536"/>
  <c r="C100" i="536"/>
  <c r="D99" i="536"/>
  <c r="E98" i="536"/>
  <c r="F97" i="536"/>
  <c r="B97" i="536"/>
  <c r="C96" i="536"/>
  <c r="D95" i="536"/>
  <c r="E94" i="536"/>
  <c r="F93" i="536"/>
  <c r="B93" i="536"/>
  <c r="C92" i="536"/>
  <c r="D91" i="536"/>
  <c r="E90" i="536"/>
  <c r="F89" i="536"/>
  <c r="B89" i="536"/>
  <c r="C88" i="536"/>
  <c r="D87" i="536"/>
  <c r="E86" i="536"/>
  <c r="F85" i="536"/>
  <c r="B85" i="536"/>
  <c r="C84" i="536"/>
  <c r="D83" i="536"/>
  <c r="E82" i="536"/>
  <c r="F81" i="536"/>
  <c r="B81" i="536"/>
  <c r="C80" i="536"/>
  <c r="D79" i="536"/>
  <c r="E78" i="536"/>
  <c r="F77" i="536"/>
  <c r="B77" i="536"/>
  <c r="C76" i="536"/>
  <c r="D75" i="536"/>
  <c r="E74" i="536"/>
  <c r="F73" i="536"/>
  <c r="B73" i="536"/>
  <c r="C72" i="536"/>
  <c r="D71" i="536"/>
  <c r="E70" i="536"/>
  <c r="F69" i="536"/>
  <c r="B69" i="536"/>
  <c r="C68" i="536"/>
  <c r="D67" i="536"/>
  <c r="E66" i="536"/>
  <c r="F65" i="536"/>
  <c r="B65" i="536"/>
  <c r="C64" i="536"/>
  <c r="D63" i="536"/>
  <c r="E62" i="536"/>
  <c r="F61" i="536"/>
  <c r="B61" i="536"/>
  <c r="C60" i="536"/>
  <c r="D59" i="536"/>
  <c r="E58" i="536"/>
  <c r="F57" i="536"/>
  <c r="B57" i="536"/>
  <c r="C56" i="536"/>
  <c r="D55" i="536"/>
  <c r="E54" i="536"/>
  <c r="F53" i="536"/>
  <c r="B53" i="536"/>
  <c r="C52" i="536"/>
  <c r="D51" i="536"/>
  <c r="E50" i="536"/>
  <c r="F49" i="536"/>
  <c r="B49" i="536"/>
  <c r="C48" i="536"/>
  <c r="D47" i="536"/>
  <c r="E46" i="536"/>
  <c r="F45" i="536"/>
  <c r="B45" i="536"/>
  <c r="C44" i="536"/>
  <c r="D43" i="536"/>
  <c r="E42" i="536"/>
  <c r="F41" i="536"/>
  <c r="B41" i="536"/>
  <c r="C40" i="536"/>
  <c r="D39" i="536"/>
  <c r="E38" i="536"/>
  <c r="F37" i="536"/>
  <c r="B37" i="536"/>
  <c r="C36" i="536"/>
  <c r="D35" i="536"/>
  <c r="E34" i="536"/>
  <c r="F33" i="536"/>
  <c r="B33" i="536"/>
  <c r="C32" i="536"/>
  <c r="D31" i="536"/>
  <c r="E30" i="536"/>
  <c r="F29" i="536"/>
  <c r="B29" i="536"/>
  <c r="C28" i="536"/>
  <c r="D27" i="536"/>
  <c r="E26" i="536"/>
  <c r="F25" i="536"/>
  <c r="B25" i="536"/>
  <c r="C24" i="536"/>
  <c r="D23" i="536"/>
  <c r="E22" i="536"/>
  <c r="F21" i="536"/>
  <c r="B21" i="536"/>
  <c r="C20" i="536"/>
  <c r="D19" i="536"/>
  <c r="E18" i="536"/>
  <c r="F17" i="536"/>
  <c r="B17" i="536"/>
  <c r="C16" i="536"/>
  <c r="D15" i="536"/>
  <c r="E14" i="536"/>
  <c r="F13" i="536"/>
  <c r="B13" i="536"/>
  <c r="E109" i="536"/>
  <c r="F108" i="536"/>
  <c r="B108" i="536"/>
  <c r="C107" i="536"/>
  <c r="D106" i="536"/>
  <c r="E105" i="536"/>
  <c r="F104" i="536"/>
  <c r="B104" i="536"/>
  <c r="C103" i="536"/>
  <c r="D102" i="536"/>
  <c r="E101" i="536"/>
  <c r="F100" i="536"/>
  <c r="B100" i="536"/>
  <c r="C99" i="536"/>
  <c r="D98" i="536"/>
  <c r="E97" i="536"/>
  <c r="F96" i="536"/>
  <c r="B96" i="536"/>
  <c r="C95" i="536"/>
  <c r="D94" i="536"/>
  <c r="E93" i="536"/>
  <c r="F92" i="536"/>
  <c r="B92" i="536"/>
  <c r="C91" i="536"/>
  <c r="D90" i="536"/>
  <c r="E89" i="536"/>
  <c r="F88" i="536"/>
  <c r="B88" i="536"/>
  <c r="C87" i="536"/>
  <c r="D86" i="536"/>
  <c r="E85" i="536"/>
  <c r="F84" i="536"/>
  <c r="B84" i="536"/>
  <c r="C83" i="536"/>
  <c r="D82" i="536"/>
  <c r="E81" i="536"/>
  <c r="F80" i="536"/>
  <c r="B80" i="536"/>
  <c r="C79" i="536"/>
  <c r="D78" i="536"/>
  <c r="E77" i="536"/>
  <c r="F76" i="536"/>
  <c r="B76" i="536"/>
  <c r="C75" i="536"/>
  <c r="D74" i="536"/>
  <c r="E73" i="536"/>
  <c r="F72" i="536"/>
  <c r="B72" i="536"/>
  <c r="C71" i="536"/>
  <c r="D70" i="536"/>
  <c r="E69" i="536"/>
  <c r="F68" i="536"/>
  <c r="B68" i="536"/>
  <c r="C67" i="536"/>
  <c r="D66" i="536"/>
  <c r="E65" i="536"/>
  <c r="F64" i="536"/>
  <c r="B64" i="536"/>
  <c r="C63" i="536"/>
  <c r="D62" i="536"/>
  <c r="E61" i="536"/>
  <c r="F60" i="536"/>
  <c r="B60" i="536"/>
  <c r="C59" i="536"/>
  <c r="D58" i="536"/>
  <c r="E57" i="536"/>
  <c r="F56" i="536"/>
  <c r="B56" i="536"/>
  <c r="C55" i="536"/>
  <c r="D54" i="536"/>
  <c r="E53" i="536"/>
  <c r="F52" i="536"/>
  <c r="B52" i="536"/>
  <c r="C51" i="536"/>
  <c r="D50" i="536"/>
  <c r="E49" i="536"/>
  <c r="F48" i="536"/>
  <c r="B48" i="536"/>
  <c r="C47" i="536"/>
  <c r="D46" i="536"/>
  <c r="E45" i="536"/>
  <c r="F44" i="536"/>
  <c r="B44" i="536"/>
  <c r="C43" i="536"/>
  <c r="D42" i="536"/>
  <c r="E41" i="536"/>
  <c r="F40" i="536"/>
  <c r="B40" i="536"/>
  <c r="C39" i="536"/>
  <c r="D38" i="536"/>
  <c r="E37" i="536"/>
  <c r="F36" i="536"/>
  <c r="B36" i="536"/>
  <c r="C35" i="536"/>
  <c r="D34" i="536"/>
  <c r="E33" i="536"/>
  <c r="F32" i="536"/>
  <c r="B32" i="536"/>
  <c r="C31" i="536"/>
  <c r="D30" i="536"/>
  <c r="E29" i="536"/>
  <c r="F28" i="536"/>
  <c r="B28" i="536"/>
  <c r="C27" i="536"/>
  <c r="D26" i="536"/>
  <c r="E25" i="536"/>
  <c r="F24" i="536"/>
  <c r="B24" i="536"/>
  <c r="C23" i="536"/>
  <c r="D22" i="536"/>
  <c r="E21" i="536"/>
  <c r="F20" i="536"/>
  <c r="B20" i="536"/>
  <c r="C19" i="536"/>
  <c r="D18" i="536"/>
  <c r="E17" i="536"/>
  <c r="F16" i="536"/>
  <c r="B16" i="536"/>
  <c r="C15" i="536"/>
  <c r="D14" i="536"/>
  <c r="E13" i="536"/>
  <c r="F12" i="536"/>
  <c r="B12" i="536"/>
  <c r="C11" i="536"/>
  <c r="D10" i="536"/>
  <c r="E9" i="536"/>
  <c r="U8" i="536"/>
  <c r="D109" i="536"/>
  <c r="F107" i="536"/>
  <c r="C106" i="536"/>
  <c r="E104" i="536"/>
  <c r="B103" i="536"/>
  <c r="D101" i="536"/>
  <c r="F99" i="536"/>
  <c r="C98" i="536"/>
  <c r="E96" i="536"/>
  <c r="B95" i="536"/>
  <c r="D93" i="536"/>
  <c r="F91" i="536"/>
  <c r="C90" i="536"/>
  <c r="E88" i="536"/>
  <c r="B87" i="536"/>
  <c r="D85" i="536"/>
  <c r="F83" i="536"/>
  <c r="C82" i="536"/>
  <c r="E80" i="536"/>
  <c r="B79" i="536"/>
  <c r="D77" i="536"/>
  <c r="F75" i="536"/>
  <c r="C74" i="536"/>
  <c r="E72" i="536"/>
  <c r="B71" i="536"/>
  <c r="D69" i="536"/>
  <c r="F67" i="536"/>
  <c r="C66" i="536"/>
  <c r="E64" i="536"/>
  <c r="B63" i="536"/>
  <c r="D61" i="536"/>
  <c r="F59" i="536"/>
  <c r="C58" i="536"/>
  <c r="E56" i="536"/>
  <c r="B55" i="536"/>
  <c r="D53" i="536"/>
  <c r="F51" i="536"/>
  <c r="C50" i="536"/>
  <c r="E48" i="536"/>
  <c r="B47" i="536"/>
  <c r="D45" i="536"/>
  <c r="F43" i="536"/>
  <c r="C42" i="536"/>
  <c r="E40" i="536"/>
  <c r="B39" i="536"/>
  <c r="D37" i="536"/>
  <c r="F35" i="536"/>
  <c r="C34" i="536"/>
  <c r="E32" i="536"/>
  <c r="B31" i="536"/>
  <c r="D29" i="536"/>
  <c r="F27" i="536"/>
  <c r="C26" i="536"/>
  <c r="E24" i="536"/>
  <c r="B23" i="536"/>
  <c r="D21" i="536"/>
  <c r="F19" i="536"/>
  <c r="C18" i="536"/>
  <c r="E16" i="536"/>
  <c r="B15" i="536"/>
  <c r="D13" i="536"/>
  <c r="C12" i="536"/>
  <c r="B11" i="536"/>
  <c r="B10" i="536"/>
  <c r="B9" i="536"/>
  <c r="D8" i="536"/>
  <c r="S7" i="536"/>
  <c r="G21" i="645"/>
  <c r="D11" i="645"/>
  <c r="D29" i="549"/>
  <c r="I26" i="549"/>
  <c r="D25" i="549"/>
  <c r="G22" i="549"/>
  <c r="I16" i="549"/>
  <c r="D14" i="549"/>
  <c r="D11" i="549"/>
  <c r="D7" i="549"/>
  <c r="L23" i="548"/>
  <c r="G21" i="548"/>
  <c r="J19" i="548"/>
  <c r="G13" i="548"/>
  <c r="Q7" i="548"/>
  <c r="L16" i="547"/>
  <c r="B15" i="547"/>
  <c r="N12" i="547"/>
  <c r="D11" i="547"/>
  <c r="N9" i="547"/>
  <c r="N7" i="547"/>
  <c r="C109" i="546"/>
  <c r="C108" i="546"/>
  <c r="C107" i="546"/>
  <c r="C106" i="546"/>
  <c r="C105" i="546"/>
  <c r="C104" i="546"/>
  <c r="C103" i="546"/>
  <c r="C102" i="546"/>
  <c r="C101" i="546"/>
  <c r="C100" i="546"/>
  <c r="C99" i="546"/>
  <c r="C98" i="546"/>
  <c r="C97" i="546"/>
  <c r="C96" i="546"/>
  <c r="C95" i="546"/>
  <c r="C94" i="546"/>
  <c r="C93" i="546"/>
  <c r="C92" i="546"/>
  <c r="C91" i="546"/>
  <c r="C90" i="546"/>
  <c r="C89" i="546"/>
  <c r="C88" i="546"/>
  <c r="C87" i="546"/>
  <c r="C86" i="546"/>
  <c r="C85" i="546"/>
  <c r="C84" i="546"/>
  <c r="C83" i="546"/>
  <c r="C82" i="546"/>
  <c r="C81" i="546"/>
  <c r="C80" i="546"/>
  <c r="C79" i="546"/>
  <c r="C78" i="546"/>
  <c r="C77" i="546"/>
  <c r="C76" i="546"/>
  <c r="C75" i="546"/>
  <c r="C74" i="546"/>
  <c r="C73" i="546"/>
  <c r="C72" i="546"/>
  <c r="C71" i="546"/>
  <c r="C109" i="536"/>
  <c r="E107" i="536"/>
  <c r="B106" i="536"/>
  <c r="D104" i="536"/>
  <c r="F102" i="536"/>
  <c r="C101" i="536"/>
  <c r="E99" i="536"/>
  <c r="B98" i="536"/>
  <c r="D96" i="536"/>
  <c r="F94" i="536"/>
  <c r="C93" i="536"/>
  <c r="E91" i="536"/>
  <c r="B90" i="536"/>
  <c r="D88" i="536"/>
  <c r="F86" i="536"/>
  <c r="C85" i="536"/>
  <c r="E83" i="536"/>
  <c r="B82" i="536"/>
  <c r="D80" i="536"/>
  <c r="F78" i="536"/>
  <c r="C77" i="536"/>
  <c r="E75" i="536"/>
  <c r="B74" i="536"/>
  <c r="D72" i="536"/>
  <c r="F70" i="536"/>
  <c r="C69" i="536"/>
  <c r="E67" i="536"/>
  <c r="B66" i="536"/>
  <c r="D64" i="536"/>
  <c r="F62" i="536"/>
  <c r="C61" i="536"/>
  <c r="E59" i="536"/>
  <c r="B58" i="536"/>
  <c r="D56" i="536"/>
  <c r="F54" i="536"/>
  <c r="C53" i="536"/>
  <c r="E51" i="536"/>
  <c r="B50" i="536"/>
  <c r="D48" i="536"/>
  <c r="F46" i="536"/>
  <c r="C45" i="536"/>
  <c r="E43" i="536"/>
  <c r="B42" i="536"/>
  <c r="D40" i="536"/>
  <c r="F38" i="536"/>
  <c r="C37" i="536"/>
  <c r="E35" i="536"/>
  <c r="B34" i="536"/>
  <c r="D32" i="536"/>
  <c r="F30" i="536"/>
  <c r="C29" i="536"/>
  <c r="E27" i="536"/>
  <c r="B26" i="536"/>
  <c r="D24" i="536"/>
  <c r="F22" i="536"/>
  <c r="C21" i="536"/>
  <c r="E19" i="536"/>
  <c r="B18" i="536"/>
  <c r="D16" i="536"/>
  <c r="F14" i="536"/>
  <c r="C13" i="536"/>
  <c r="F11" i="536"/>
  <c r="F10" i="536"/>
  <c r="F9" i="536"/>
  <c r="S8" i="536"/>
  <c r="C8" i="536"/>
  <c r="G25" i="645"/>
  <c r="D15" i="645"/>
  <c r="D10" i="645"/>
  <c r="I28" i="549"/>
  <c r="D26" i="549"/>
  <c r="I24" i="549"/>
  <c r="D22" i="549"/>
  <c r="I15" i="549"/>
  <c r="I13" i="549"/>
  <c r="I10" i="549"/>
  <c r="L25" i="548"/>
  <c r="J23" i="548"/>
  <c r="L20" i="548"/>
  <c r="G19" i="548"/>
  <c r="Q9" i="548"/>
  <c r="L7" i="548"/>
  <c r="N15" i="547"/>
  <c r="N14" i="547"/>
  <c r="G12" i="547"/>
  <c r="N10" i="547"/>
  <c r="L9" i="547"/>
  <c r="D6" i="547"/>
  <c r="B109" i="546"/>
  <c r="B108" i="546"/>
  <c r="B107" i="546"/>
  <c r="B106" i="546"/>
  <c r="B105" i="546"/>
  <c r="B104" i="546"/>
  <c r="B103" i="546"/>
  <c r="B102" i="546"/>
  <c r="B101" i="546"/>
  <c r="B100" i="546"/>
  <c r="B99" i="546"/>
  <c r="B98" i="546"/>
  <c r="B97" i="546"/>
  <c r="B96" i="546"/>
  <c r="B95" i="546"/>
  <c r="B94" i="546"/>
  <c r="B93" i="546"/>
  <c r="B92" i="546"/>
  <c r="B91" i="546"/>
  <c r="B90" i="546"/>
  <c r="B89" i="546"/>
  <c r="B88" i="546"/>
  <c r="B87" i="546"/>
  <c r="B86" i="546"/>
  <c r="B85" i="546"/>
  <c r="B84" i="546"/>
  <c r="B83" i="546"/>
  <c r="B82" i="546"/>
  <c r="B81" i="546"/>
  <c r="B80" i="546"/>
  <c r="B79" i="546"/>
  <c r="B78" i="546"/>
  <c r="B77" i="546"/>
  <c r="B76" i="546"/>
  <c r="B75" i="546"/>
  <c r="B74" i="546"/>
  <c r="B73" i="546"/>
  <c r="B72" i="546"/>
  <c r="B71" i="546"/>
  <c r="B70" i="546"/>
  <c r="B69" i="546"/>
  <c r="B68" i="546"/>
  <c r="B67" i="546"/>
  <c r="B66" i="546"/>
  <c r="B65" i="546"/>
  <c r="B64" i="546"/>
  <c r="E108" i="536"/>
  <c r="B107" i="536"/>
  <c r="D105" i="536"/>
  <c r="F103" i="536"/>
  <c r="C102" i="536"/>
  <c r="E100" i="536"/>
  <c r="B99" i="536"/>
  <c r="D97" i="536"/>
  <c r="F95" i="536"/>
  <c r="C94" i="536"/>
  <c r="E92" i="536"/>
  <c r="B91" i="536"/>
  <c r="D89" i="536"/>
  <c r="F87" i="536"/>
  <c r="C86" i="536"/>
  <c r="E84" i="536"/>
  <c r="B83" i="536"/>
  <c r="D81" i="536"/>
  <c r="F79" i="536"/>
  <c r="C78" i="536"/>
  <c r="E76" i="536"/>
  <c r="B75" i="536"/>
  <c r="D73" i="536"/>
  <c r="F71" i="536"/>
  <c r="C70" i="536"/>
  <c r="E68" i="536"/>
  <c r="B67" i="536"/>
  <c r="D65" i="536"/>
  <c r="F63" i="536"/>
  <c r="C62" i="536"/>
  <c r="E60" i="536"/>
  <c r="B59" i="536"/>
  <c r="D57" i="536"/>
  <c r="F55" i="536"/>
  <c r="C54" i="536"/>
  <c r="E52" i="536"/>
  <c r="B51" i="536"/>
  <c r="D49" i="536"/>
  <c r="F47" i="536"/>
  <c r="C46" i="536"/>
  <c r="E44" i="536"/>
  <c r="B43" i="536"/>
  <c r="D41" i="536"/>
  <c r="F39" i="536"/>
  <c r="C38" i="536"/>
  <c r="E36" i="536"/>
  <c r="B35" i="536"/>
  <c r="D33" i="536"/>
  <c r="F31" i="536"/>
  <c r="D108" i="536"/>
  <c r="B102" i="536"/>
  <c r="E95" i="536"/>
  <c r="C89" i="536"/>
  <c r="F82" i="536"/>
  <c r="D76" i="536"/>
  <c r="B70" i="536"/>
  <c r="E63" i="536"/>
  <c r="C57" i="536"/>
  <c r="F50" i="536"/>
  <c r="D44" i="536"/>
  <c r="B38" i="536"/>
  <c r="E31" i="536"/>
  <c r="D28" i="536"/>
  <c r="C25" i="536"/>
  <c r="B22" i="536"/>
  <c r="F18" i="536"/>
  <c r="E15" i="536"/>
  <c r="D12" i="536"/>
  <c r="C10" i="536"/>
  <c r="E8" i="536"/>
  <c r="G22" i="645"/>
  <c r="D30" i="549"/>
  <c r="G25" i="549"/>
  <c r="G21" i="549"/>
  <c r="I11" i="549"/>
  <c r="G25" i="548"/>
  <c r="L19" i="548"/>
  <c r="G9" i="548"/>
  <c r="D15" i="547"/>
  <c r="N11" i="547"/>
  <c r="L8" i="547"/>
  <c r="D108" i="546"/>
  <c r="D106" i="546"/>
  <c r="D104" i="546"/>
  <c r="D102" i="546"/>
  <c r="D100" i="546"/>
  <c r="D98" i="546"/>
  <c r="D96" i="546"/>
  <c r="D94" i="546"/>
  <c r="D92" i="546"/>
  <c r="D90" i="546"/>
  <c r="D88" i="546"/>
  <c r="D86" i="546"/>
  <c r="D84" i="546"/>
  <c r="D82" i="546"/>
  <c r="D80" i="546"/>
  <c r="D78" i="546"/>
  <c r="D76" i="546"/>
  <c r="D74" i="546"/>
  <c r="D72" i="546"/>
  <c r="D70" i="546"/>
  <c r="C69" i="546"/>
  <c r="E67" i="546"/>
  <c r="D66" i="546"/>
  <c r="C65" i="546"/>
  <c r="E63" i="546"/>
  <c r="E62" i="546"/>
  <c r="E61" i="546"/>
  <c r="E60" i="546"/>
  <c r="E59" i="546"/>
  <c r="E58" i="546"/>
  <c r="E57" i="546"/>
  <c r="E56" i="546"/>
  <c r="E55" i="546"/>
  <c r="E54" i="546"/>
  <c r="E53" i="546"/>
  <c r="E52" i="546"/>
  <c r="E51" i="546"/>
  <c r="E50" i="546"/>
  <c r="E49" i="546"/>
  <c r="E48" i="546"/>
  <c r="E47" i="546"/>
  <c r="E46" i="546"/>
  <c r="E45" i="546"/>
  <c r="E44" i="546"/>
  <c r="E43" i="546"/>
  <c r="E42" i="546"/>
  <c r="E41" i="546"/>
  <c r="E40" i="546"/>
  <c r="E39" i="546"/>
  <c r="E38" i="546"/>
  <c r="E37" i="546"/>
  <c r="E36" i="546"/>
  <c r="E35" i="546"/>
  <c r="E34" i="546"/>
  <c r="E33" i="546"/>
  <c r="E32" i="546"/>
  <c r="E31" i="546"/>
  <c r="E30" i="546"/>
  <c r="E29" i="546"/>
  <c r="E28" i="546"/>
  <c r="E27" i="546"/>
  <c r="E26" i="546"/>
  <c r="E25" i="546"/>
  <c r="E24" i="546"/>
  <c r="E23" i="546"/>
  <c r="E22" i="546"/>
  <c r="E21" i="546"/>
  <c r="E20" i="546"/>
  <c r="E19" i="546"/>
  <c r="E18" i="546"/>
  <c r="E17" i="546"/>
  <c r="E16" i="546"/>
  <c r="E15" i="546"/>
  <c r="E14" i="546"/>
  <c r="E13" i="546"/>
  <c r="E12" i="546"/>
  <c r="T11" i="546"/>
  <c r="C11" i="546"/>
  <c r="E10" i="546"/>
  <c r="E9" i="546"/>
  <c r="E8" i="546"/>
  <c r="T7" i="546"/>
  <c r="G13" i="739"/>
  <c r="G6" i="739"/>
  <c r="H8" i="183"/>
  <c r="N5" i="728" a="1"/>
  <c r="F106" i="536"/>
  <c r="D100" i="536"/>
  <c r="B94" i="536"/>
  <c r="E87" i="536"/>
  <c r="C81" i="536"/>
  <c r="F74" i="536"/>
  <c r="D68" i="536"/>
  <c r="B62" i="536"/>
  <c r="E55" i="536"/>
  <c r="C49" i="536"/>
  <c r="F42" i="536"/>
  <c r="D36" i="536"/>
  <c r="C30" i="536"/>
  <c r="B27" i="536"/>
  <c r="F23" i="536"/>
  <c r="E20" i="536"/>
  <c r="D17" i="536"/>
  <c r="C14" i="536"/>
  <c r="E11" i="536"/>
  <c r="D9" i="536"/>
  <c r="B8" i="536"/>
  <c r="D14" i="645"/>
  <c r="G28" i="549"/>
  <c r="G24" i="549"/>
  <c r="D15" i="549"/>
  <c r="D10" i="549"/>
  <c r="L22" i="548"/>
  <c r="Q14" i="548"/>
  <c r="G7" i="548"/>
  <c r="L14" i="547"/>
  <c r="G10" i="547"/>
  <c r="E109" i="546"/>
  <c r="E107" i="546"/>
  <c r="E105" i="546"/>
  <c r="E103" i="546"/>
  <c r="E101" i="546"/>
  <c r="E99" i="546"/>
  <c r="E97" i="546"/>
  <c r="E95" i="546"/>
  <c r="E93" i="546"/>
  <c r="E91" i="546"/>
  <c r="E89" i="546"/>
  <c r="E87" i="546"/>
  <c r="E85" i="546"/>
  <c r="E83" i="546"/>
  <c r="E81" i="546"/>
  <c r="E79" i="546"/>
  <c r="E77" i="546"/>
  <c r="E75" i="546"/>
  <c r="E73" i="546"/>
  <c r="E71" i="546"/>
  <c r="C70" i="546"/>
  <c r="E68" i="546"/>
  <c r="D67" i="546"/>
  <c r="C66" i="546"/>
  <c r="E64" i="546"/>
  <c r="D63" i="546"/>
  <c r="D62" i="546"/>
  <c r="D61" i="546"/>
  <c r="D60" i="546"/>
  <c r="D59" i="546"/>
  <c r="D58" i="546"/>
  <c r="D57" i="546"/>
  <c r="D56" i="546"/>
  <c r="D55" i="546"/>
  <c r="D54" i="546"/>
  <c r="D53" i="546"/>
  <c r="D52" i="546"/>
  <c r="D51" i="546"/>
  <c r="D50" i="546"/>
  <c r="D49" i="546"/>
  <c r="D48" i="546"/>
  <c r="D47" i="546"/>
  <c r="D46" i="546"/>
  <c r="D45" i="546"/>
  <c r="D44" i="546"/>
  <c r="D43" i="546"/>
  <c r="D42" i="546"/>
  <c r="D41" i="546"/>
  <c r="D40" i="546"/>
  <c r="D39" i="546"/>
  <c r="D38" i="546"/>
  <c r="D37" i="546"/>
  <c r="D36" i="546"/>
  <c r="D35" i="546"/>
  <c r="D34" i="546"/>
  <c r="D33" i="546"/>
  <c r="D32" i="546"/>
  <c r="D31" i="546"/>
  <c r="D30" i="546"/>
  <c r="D29" i="546"/>
  <c r="D28" i="546"/>
  <c r="D27" i="546"/>
  <c r="D26" i="546"/>
  <c r="D25" i="546"/>
  <c r="D24" i="546"/>
  <c r="D23" i="546"/>
  <c r="D22" i="546"/>
  <c r="D21" i="546"/>
  <c r="D20" i="546"/>
  <c r="D19" i="546"/>
  <c r="D18" i="546"/>
  <c r="D17" i="546"/>
  <c r="D16" i="546"/>
  <c r="D15" i="546"/>
  <c r="D14" i="546"/>
  <c r="D13" i="546"/>
  <c r="D12" i="546"/>
  <c r="R11" i="546"/>
  <c r="B11" i="546"/>
  <c r="D10" i="546"/>
  <c r="D9" i="546"/>
  <c r="D8" i="546"/>
  <c r="R7" i="546"/>
  <c r="G12" i="739"/>
  <c r="H14" i="183"/>
  <c r="H6" i="183"/>
  <c r="I44" i="727"/>
  <c r="C105" i="536"/>
  <c r="F98" i="536"/>
  <c r="D92" i="536"/>
  <c r="B86" i="536"/>
  <c r="E79" i="536"/>
  <c r="C73" i="536"/>
  <c r="F66" i="536"/>
  <c r="D60" i="536"/>
  <c r="B54" i="536"/>
  <c r="E47" i="536"/>
  <c r="C41" i="536"/>
  <c r="F34" i="536"/>
  <c r="B30" i="536"/>
  <c r="F26" i="536"/>
  <c r="E23" i="536"/>
  <c r="D20" i="536"/>
  <c r="C17" i="536"/>
  <c r="B14" i="536"/>
  <c r="D11" i="536"/>
  <c r="C9" i="536"/>
  <c r="U7" i="536"/>
  <c r="D13" i="645"/>
  <c r="D28" i="549"/>
  <c r="I22" i="549"/>
  <c r="I14" i="549"/>
  <c r="I7" i="549"/>
  <c r="J22" i="548"/>
  <c r="L14" i="548"/>
  <c r="N16" i="547"/>
  <c r="D13" i="547"/>
  <c r="D10" i="547"/>
  <c r="D109" i="546"/>
  <c r="D107" i="546"/>
  <c r="D105" i="546"/>
  <c r="D103" i="546"/>
  <c r="D101" i="546"/>
  <c r="D99" i="546"/>
  <c r="D97" i="546"/>
  <c r="D95" i="546"/>
  <c r="D93" i="546"/>
  <c r="D91" i="546"/>
  <c r="D89" i="546"/>
  <c r="D87" i="546"/>
  <c r="D85" i="546"/>
  <c r="D83" i="546"/>
  <c r="D81" i="546"/>
  <c r="D79" i="546"/>
  <c r="D77" i="546"/>
  <c r="D75" i="546"/>
  <c r="D73" i="546"/>
  <c r="D71" i="546"/>
  <c r="E69" i="546"/>
  <c r="D68" i="546"/>
  <c r="C67" i="546"/>
  <c r="E65" i="546"/>
  <c r="D64" i="546"/>
  <c r="C63" i="546"/>
  <c r="C62" i="546"/>
  <c r="C61" i="546"/>
  <c r="C60" i="546"/>
  <c r="C59" i="546"/>
  <c r="C58" i="546"/>
  <c r="C57" i="546"/>
  <c r="C56" i="546"/>
  <c r="C55" i="546"/>
  <c r="C54" i="546"/>
  <c r="C53" i="546"/>
  <c r="C52" i="546"/>
  <c r="C51" i="546"/>
  <c r="C50" i="546"/>
  <c r="C49" i="546"/>
  <c r="C48" i="546"/>
  <c r="C47" i="546"/>
  <c r="C46" i="546"/>
  <c r="C45" i="546"/>
  <c r="C44" i="546"/>
  <c r="C43" i="546"/>
  <c r="C42" i="546"/>
  <c r="C41" i="546"/>
  <c r="C40" i="546"/>
  <c r="C39" i="546"/>
  <c r="C38" i="546"/>
  <c r="C37" i="546"/>
  <c r="C36" i="546"/>
  <c r="C35" i="546"/>
  <c r="C34" i="546"/>
  <c r="C33" i="546"/>
  <c r="C32" i="546"/>
  <c r="C31" i="546"/>
  <c r="C30" i="546"/>
  <c r="C29" i="546"/>
  <c r="C28" i="546"/>
  <c r="C27" i="546"/>
  <c r="C26" i="546"/>
  <c r="C25" i="546"/>
  <c r="C24" i="546"/>
  <c r="C23" i="546"/>
  <c r="C22" i="546"/>
  <c r="C21" i="546"/>
  <c r="C20" i="546"/>
  <c r="C19" i="546"/>
  <c r="C18" i="546"/>
  <c r="C17" i="546"/>
  <c r="C16" i="546"/>
  <c r="C15" i="546"/>
  <c r="C14" i="546"/>
  <c r="C13" i="546"/>
  <c r="C12" i="546"/>
  <c r="E11" i="546"/>
  <c r="T10" i="546"/>
  <c r="C10" i="546"/>
  <c r="C9" i="546"/>
  <c r="C8" i="546"/>
  <c r="T6" i="546"/>
  <c r="G11" i="739"/>
  <c r="H10" i="183"/>
  <c r="E103" i="536"/>
  <c r="B78" i="536"/>
  <c r="D52" i="536"/>
  <c r="E28" i="536"/>
  <c r="F15" i="536"/>
  <c r="G24" i="645"/>
  <c r="D13" i="549"/>
  <c r="L15" i="547"/>
  <c r="E106" i="546"/>
  <c r="E98" i="546"/>
  <c r="E90" i="546"/>
  <c r="E82" i="546"/>
  <c r="E74" i="546"/>
  <c r="C68" i="546"/>
  <c r="B63" i="546"/>
  <c r="B59" i="546"/>
  <c r="B55" i="546"/>
  <c r="B51" i="546"/>
  <c r="B47" i="546"/>
  <c r="B43" i="546"/>
  <c r="B39" i="546"/>
  <c r="B35" i="546"/>
  <c r="B31" i="546"/>
  <c r="B27" i="546"/>
  <c r="B23" i="546"/>
  <c r="B19" i="546"/>
  <c r="B15" i="546"/>
  <c r="D11" i="546"/>
  <c r="B8" i="546"/>
  <c r="Q28" i="727" a="1"/>
  <c r="Q4" i="727" a="1"/>
  <c r="L12" i="693"/>
  <c r="AA7" i="693"/>
  <c r="AA2" i="693"/>
  <c r="P12" i="729"/>
  <c r="F5" i="729" a="1"/>
  <c r="U20" i="50"/>
  <c r="G8" i="681"/>
  <c r="G2" i="681"/>
  <c r="K12" i="48"/>
  <c r="D10" i="376"/>
  <c r="D14" i="46"/>
  <c r="I10" i="46"/>
  <c r="R51" i="692"/>
  <c r="T34" i="692" a="1"/>
  <c r="AA25" i="692"/>
  <c r="K21" i="692"/>
  <c r="AA19" i="692"/>
  <c r="AA9" i="692"/>
  <c r="AA7" i="692"/>
  <c r="Q4" i="692" a="1"/>
  <c r="R99" i="714"/>
  <c r="R95" i="714"/>
  <c r="R91" i="714"/>
  <c r="R87" i="714"/>
  <c r="R83" i="714"/>
  <c r="R79" i="714"/>
  <c r="R75" i="714"/>
  <c r="R71" i="714"/>
  <c r="R67" i="714"/>
  <c r="R63" i="714"/>
  <c r="R59" i="714"/>
  <c r="R55" i="714"/>
  <c r="B52" i="714"/>
  <c r="B50" i="714"/>
  <c r="B48" i="714"/>
  <c r="B46" i="714"/>
  <c r="B44" i="714"/>
  <c r="B42" i="714"/>
  <c r="B40" i="714"/>
  <c r="B38" i="714"/>
  <c r="B36" i="714"/>
  <c r="B34" i="714"/>
  <c r="B32" i="714"/>
  <c r="B30" i="714"/>
  <c r="B28" i="714"/>
  <c r="B26" i="714"/>
  <c r="B24" i="714"/>
  <c r="M22" i="714"/>
  <c r="B21" i="714"/>
  <c r="R19" i="714"/>
  <c r="M18" i="714"/>
  <c r="B17" i="714"/>
  <c r="R15" i="714"/>
  <c r="M14" i="714"/>
  <c r="B13" i="714"/>
  <c r="R11" i="714"/>
  <c r="M10" i="714"/>
  <c r="B9" i="714"/>
  <c r="R7" i="714"/>
  <c r="M6" i="714"/>
  <c r="B5" i="714"/>
  <c r="R3" i="714"/>
  <c r="M2" i="714"/>
  <c r="T20" i="44"/>
  <c r="G18" i="610"/>
  <c r="G12" i="610"/>
  <c r="AZ7" i="610" a="1"/>
  <c r="AX6" i="610"/>
  <c r="I14" i="609"/>
  <c r="I9" i="609"/>
  <c r="I6" i="609"/>
  <c r="I3" i="609"/>
  <c r="J14" i="710" a="1"/>
  <c r="E13" i="710"/>
  <c r="H8" i="710"/>
  <c r="H5" i="710"/>
  <c r="I17" i="711"/>
  <c r="I10" i="711"/>
  <c r="D7" i="711"/>
  <c r="I3" i="711"/>
  <c r="V23" i="625"/>
  <c r="S17" i="625"/>
  <c r="X15" i="625"/>
  <c r="AC13" i="625"/>
  <c r="AC10" i="625"/>
  <c r="AC7" i="625"/>
  <c r="P7" i="625"/>
  <c r="X5" i="625"/>
  <c r="R209" i="535"/>
  <c r="B209" i="535"/>
  <c r="R208" i="535"/>
  <c r="B208" i="535"/>
  <c r="R207" i="535"/>
  <c r="B207" i="535"/>
  <c r="R206" i="535"/>
  <c r="B206" i="535"/>
  <c r="R205" i="535"/>
  <c r="B205" i="535"/>
  <c r="R204" i="535"/>
  <c r="B204" i="535"/>
  <c r="R203" i="535"/>
  <c r="B203" i="535"/>
  <c r="R202" i="535"/>
  <c r="B202" i="535"/>
  <c r="R201" i="535"/>
  <c r="B201" i="535"/>
  <c r="R200" i="535"/>
  <c r="B200" i="535"/>
  <c r="R199" i="535"/>
  <c r="B199" i="535"/>
  <c r="R198" i="535"/>
  <c r="B198" i="535"/>
  <c r="R197" i="535"/>
  <c r="B197" i="535"/>
  <c r="R196" i="535"/>
  <c r="B196" i="535"/>
  <c r="R195" i="535"/>
  <c r="B195" i="535"/>
  <c r="R194" i="535"/>
  <c r="B194" i="535"/>
  <c r="R193" i="535"/>
  <c r="B193" i="535"/>
  <c r="R192" i="535"/>
  <c r="B192" i="535"/>
  <c r="R191" i="535"/>
  <c r="B191" i="535"/>
  <c r="R190" i="535"/>
  <c r="B190" i="535"/>
  <c r="R189" i="535"/>
  <c r="B189" i="535"/>
  <c r="R188" i="535"/>
  <c r="B188" i="535"/>
  <c r="R187" i="535"/>
  <c r="B187" i="535"/>
  <c r="R186" i="535"/>
  <c r="B186" i="535"/>
  <c r="R185" i="535"/>
  <c r="B185" i="535"/>
  <c r="R184" i="535"/>
  <c r="B184" i="535"/>
  <c r="R183" i="535"/>
  <c r="B183" i="535"/>
  <c r="R182" i="535"/>
  <c r="B182" i="535"/>
  <c r="R181" i="535"/>
  <c r="B181" i="535"/>
  <c r="R180" i="535"/>
  <c r="B180" i="535"/>
  <c r="R179" i="535"/>
  <c r="B179" i="535"/>
  <c r="C97" i="536"/>
  <c r="E71" i="536"/>
  <c r="B46" i="536"/>
  <c r="D25" i="536"/>
  <c r="E12" i="536"/>
  <c r="D7" i="645"/>
  <c r="J25" i="548"/>
  <c r="B12" i="547"/>
  <c r="E104" i="546"/>
  <c r="E96" i="546"/>
  <c r="E88" i="546"/>
  <c r="E80" i="546"/>
  <c r="E72" i="546"/>
  <c r="E66" i="546"/>
  <c r="B62" i="546"/>
  <c r="B58" i="546"/>
  <c r="B54" i="546"/>
  <c r="B50" i="546"/>
  <c r="B46" i="546"/>
  <c r="B42" i="546"/>
  <c r="B38" i="546"/>
  <c r="B34" i="546"/>
  <c r="B30" i="546"/>
  <c r="B26" i="546"/>
  <c r="B22" i="546"/>
  <c r="B18" i="546"/>
  <c r="B14" i="546"/>
  <c r="R10" i="546"/>
  <c r="R6" i="546"/>
  <c r="T4" i="727" a="1"/>
  <c r="H18" i="693"/>
  <c r="L11" i="693"/>
  <c r="AA6" i="693"/>
  <c r="Y2" i="693"/>
  <c r="P11" i="729"/>
  <c r="E6" i="729" a="1"/>
  <c r="O12" i="498"/>
  <c r="E5" i="498" a="1"/>
  <c r="T20" i="50"/>
  <c r="G5" i="681"/>
  <c r="F20" i="47"/>
  <c r="M10" i="48"/>
  <c r="D6" i="376"/>
  <c r="D13" i="46"/>
  <c r="I8" i="46"/>
  <c r="R50" i="692"/>
  <c r="Q34" i="692" a="1"/>
  <c r="Y25" i="692"/>
  <c r="AA20" i="692"/>
  <c r="Y19" i="692"/>
  <c r="AF8" i="692"/>
  <c r="AF4" i="692"/>
  <c r="R102" i="714"/>
  <c r="R98" i="714"/>
  <c r="R94" i="714"/>
  <c r="R90" i="714"/>
  <c r="R86" i="714"/>
  <c r="R82" i="714"/>
  <c r="R78" i="714"/>
  <c r="R74" i="714"/>
  <c r="R70" i="714"/>
  <c r="R66" i="714"/>
  <c r="R62" i="714"/>
  <c r="R58" i="714"/>
  <c r="R54" i="714"/>
  <c r="R51" i="714"/>
  <c r="R49" i="714"/>
  <c r="R47" i="714"/>
  <c r="R45" i="714"/>
  <c r="R43" i="714"/>
  <c r="R41" i="714"/>
  <c r="R39" i="714"/>
  <c r="R37" i="714"/>
  <c r="R35" i="714"/>
  <c r="R33" i="714"/>
  <c r="R31" i="714"/>
  <c r="R29" i="714"/>
  <c r="R27" i="714"/>
  <c r="R25" i="714"/>
  <c r="R23" i="714"/>
  <c r="B22" i="714"/>
  <c r="R20" i="714"/>
  <c r="M19" i="714"/>
  <c r="B18" i="714"/>
  <c r="R16" i="714"/>
  <c r="M15" i="714"/>
  <c r="B14" i="714"/>
  <c r="R12" i="714"/>
  <c r="M11" i="714"/>
  <c r="B10" i="714"/>
  <c r="R8" i="714"/>
  <c r="M7" i="714"/>
  <c r="B6" i="714"/>
  <c r="R4" i="714"/>
  <c r="M3" i="714"/>
  <c r="B2" i="714"/>
  <c r="R20" i="44"/>
  <c r="AV23" i="610" a="1"/>
  <c r="G16" i="610"/>
  <c r="G11" i="610"/>
  <c r="AX7" i="610"/>
  <c r="AR6" i="610"/>
  <c r="I13" i="609"/>
  <c r="N7" i="609"/>
  <c r="D6" i="609"/>
  <c r="M14" i="710"/>
  <c r="F14" i="710"/>
  <c r="M12" i="710"/>
  <c r="H7" i="710"/>
  <c r="M4" i="710"/>
  <c r="F17" i="711" a="1"/>
  <c r="I9" i="711"/>
  <c r="I6" i="711"/>
  <c r="X24" i="625"/>
  <c r="X18" i="625"/>
  <c r="P17" i="625"/>
  <c r="AC14" i="625"/>
  <c r="AA13" i="625"/>
  <c r="AA10" i="625"/>
  <c r="X7" i="625"/>
  <c r="AC6" i="625"/>
  <c r="U209" i="535"/>
  <c r="E209" i="535"/>
  <c r="U208" i="535"/>
  <c r="E208" i="535"/>
  <c r="U207" i="535"/>
  <c r="E207" i="535"/>
  <c r="U206" i="535"/>
  <c r="E206" i="535"/>
  <c r="U205" i="535"/>
  <c r="E205" i="535"/>
  <c r="U204" i="535"/>
  <c r="E204" i="535"/>
  <c r="U203" i="535"/>
  <c r="E203" i="535"/>
  <c r="U202" i="535"/>
  <c r="E202" i="535"/>
  <c r="U201" i="535"/>
  <c r="E201" i="535"/>
  <c r="U200" i="535"/>
  <c r="E200" i="535"/>
  <c r="U199" i="535"/>
  <c r="E199" i="535"/>
  <c r="U198" i="535"/>
  <c r="E198" i="535"/>
  <c r="U197" i="535"/>
  <c r="E197" i="535"/>
  <c r="U196" i="535"/>
  <c r="E196" i="535"/>
  <c r="U195" i="535"/>
  <c r="E195" i="535"/>
  <c r="U194" i="535"/>
  <c r="E194" i="535"/>
  <c r="U193" i="535"/>
  <c r="E193" i="535"/>
  <c r="U192" i="535"/>
  <c r="E192" i="535"/>
  <c r="U191" i="535"/>
  <c r="E191" i="535"/>
  <c r="U190" i="535"/>
  <c r="E190" i="535"/>
  <c r="U189" i="535"/>
  <c r="E189" i="535"/>
  <c r="U188" i="535"/>
  <c r="E188" i="535"/>
  <c r="U187" i="535"/>
  <c r="E187" i="535"/>
  <c r="U186" i="535"/>
  <c r="E186" i="535"/>
  <c r="U185" i="535"/>
  <c r="E185" i="535"/>
  <c r="U184" i="535"/>
  <c r="E184" i="535"/>
  <c r="U183" i="535"/>
  <c r="E183" i="535"/>
  <c r="U182" i="535"/>
  <c r="E182" i="535"/>
  <c r="U181" i="535"/>
  <c r="E181" i="535"/>
  <c r="U180" i="535"/>
  <c r="E180" i="535"/>
  <c r="U179" i="535"/>
  <c r="E179" i="535"/>
  <c r="U178" i="535"/>
  <c r="F90" i="536"/>
  <c r="C65" i="536"/>
  <c r="E39" i="536"/>
  <c r="C22" i="536"/>
  <c r="E10" i="536"/>
  <c r="I25" i="549"/>
  <c r="J20" i="548"/>
  <c r="N8" i="547"/>
  <c r="E102" i="546"/>
  <c r="E94" i="546"/>
  <c r="E86" i="546"/>
  <c r="E78" i="546"/>
  <c r="E70" i="546"/>
  <c r="D65" i="546"/>
  <c r="B61" i="546"/>
  <c r="B57" i="546"/>
  <c r="B53" i="546"/>
  <c r="B49" i="546"/>
  <c r="B45" i="546"/>
  <c r="B41" i="546"/>
  <c r="B37" i="546"/>
  <c r="B33" i="546"/>
  <c r="B29" i="546"/>
  <c r="B25" i="546"/>
  <c r="B21" i="546"/>
  <c r="B17" i="546"/>
  <c r="B13" i="546"/>
  <c r="B10" i="546"/>
  <c r="G7" i="739"/>
  <c r="K5" i="728" a="1"/>
  <c r="R17" i="693"/>
  <c r="AA9" i="693"/>
  <c r="AA4" i="693"/>
  <c r="O18" i="343"/>
  <c r="O11" i="498"/>
  <c r="D6" i="498" a="1"/>
  <c r="U21" i="50"/>
  <c r="T12" i="50"/>
  <c r="G4" i="681"/>
  <c r="D20" i="47"/>
  <c r="M8" i="48"/>
  <c r="I20" i="46"/>
  <c r="I12" i="46"/>
  <c r="I6" i="46"/>
  <c r="R45" i="692"/>
  <c r="S30" i="692"/>
  <c r="AA24" i="692"/>
  <c r="Y20" i="692"/>
  <c r="AA16" i="692"/>
  <c r="AA8" i="692"/>
  <c r="AA4" i="692"/>
  <c r="R101" i="714"/>
  <c r="R97" i="714"/>
  <c r="R93" i="714"/>
  <c r="R89" i="714"/>
  <c r="R85" i="714"/>
  <c r="R81" i="714"/>
  <c r="R77" i="714"/>
  <c r="R73" i="714"/>
  <c r="R69" i="714"/>
  <c r="R65" i="714"/>
  <c r="R61" i="714"/>
  <c r="R57" i="714"/>
  <c r="R53" i="714"/>
  <c r="B51" i="714"/>
  <c r="B49" i="714"/>
  <c r="B47" i="714"/>
  <c r="B45" i="714"/>
  <c r="B43" i="714"/>
  <c r="B41" i="714"/>
  <c r="B39" i="714"/>
  <c r="B37" i="714"/>
  <c r="B35" i="714"/>
  <c r="B33" i="714"/>
  <c r="B31" i="714"/>
  <c r="B29" i="714"/>
  <c r="B27" i="714"/>
  <c r="B25" i="714"/>
  <c r="B23" i="714"/>
  <c r="R21" i="714"/>
  <c r="M20" i="714"/>
  <c r="B19" i="714"/>
  <c r="R17" i="714"/>
  <c r="M16" i="714"/>
  <c r="B15" i="714"/>
  <c r="R13" i="714"/>
  <c r="M12" i="714"/>
  <c r="B11" i="714"/>
  <c r="R9" i="714"/>
  <c r="M8" i="714"/>
  <c r="B7" i="714"/>
  <c r="R5" i="714"/>
  <c r="M4" i="714"/>
  <c r="B3" i="714"/>
  <c r="T21" i="44"/>
  <c r="R15" i="44"/>
  <c r="AN23" i="610" a="1"/>
  <c r="G15" i="610"/>
  <c r="G10" i="610"/>
  <c r="AR7" i="610"/>
  <c r="G6" i="610"/>
  <c r="I11" i="609"/>
  <c r="D7" i="609"/>
  <c r="P5" i="609" a="1"/>
  <c r="E14" i="710"/>
  <c r="M11" i="710"/>
  <c r="M6" i="710"/>
  <c r="H4" i="710"/>
  <c r="I15" i="711"/>
  <c r="I8" i="711"/>
  <c r="D6" i="711"/>
  <c r="V24" i="625"/>
  <c r="X17" i="625"/>
  <c r="AC15" i="625"/>
  <c r="AA14" i="625"/>
  <c r="AC11" i="625"/>
  <c r="AC9" i="625"/>
  <c r="V7" i="625"/>
  <c r="X6" i="625"/>
  <c r="T209" i="535"/>
  <c r="D209" i="535"/>
  <c r="T208" i="535"/>
  <c r="D208" i="535"/>
  <c r="T207" i="535"/>
  <c r="D207" i="535"/>
  <c r="T206" i="535"/>
  <c r="D206" i="535"/>
  <c r="T205" i="535"/>
  <c r="D205" i="535"/>
  <c r="T204" i="535"/>
  <c r="D204" i="535"/>
  <c r="T203" i="535"/>
  <c r="D203" i="535"/>
  <c r="T202" i="535"/>
  <c r="D202" i="535"/>
  <c r="T201" i="535"/>
  <c r="D201" i="535"/>
  <c r="T200" i="535"/>
  <c r="D200" i="535"/>
  <c r="T199" i="535"/>
  <c r="D199" i="535"/>
  <c r="T198" i="535"/>
  <c r="D198" i="535"/>
  <c r="T197" i="535"/>
  <c r="D197" i="535"/>
  <c r="T196" i="535"/>
  <c r="D196" i="535"/>
  <c r="T195" i="535"/>
  <c r="D195" i="535"/>
  <c r="T194" i="535"/>
  <c r="D194" i="535"/>
  <c r="T193" i="535"/>
  <c r="D193" i="535"/>
  <c r="T192" i="535"/>
  <c r="D192" i="535"/>
  <c r="T191" i="535"/>
  <c r="D191" i="535"/>
  <c r="T190" i="535"/>
  <c r="D190" i="535"/>
  <c r="T189" i="535"/>
  <c r="D189" i="535"/>
  <c r="T188" i="535"/>
  <c r="D188" i="535"/>
  <c r="T187" i="535"/>
  <c r="D187" i="535"/>
  <c r="T186" i="535"/>
  <c r="D186" i="535"/>
  <c r="T185" i="535"/>
  <c r="D185" i="535"/>
  <c r="T184" i="535"/>
  <c r="D184" i="535"/>
  <c r="T183" i="535"/>
  <c r="D183" i="535"/>
  <c r="T182" i="535"/>
  <c r="D182" i="535"/>
  <c r="T181" i="535"/>
  <c r="D181" i="535"/>
  <c r="T180" i="535"/>
  <c r="D180" i="535"/>
  <c r="T179" i="535"/>
  <c r="D179" i="535"/>
  <c r="T178" i="535"/>
  <c r="D178" i="535"/>
  <c r="D84" i="536"/>
  <c r="F8" i="536"/>
  <c r="E100" i="546"/>
  <c r="D69" i="546"/>
  <c r="B52" i="546"/>
  <c r="B36" i="546"/>
  <c r="B20" i="546"/>
  <c r="H9" i="183"/>
  <c r="H13" i="693"/>
  <c r="X9" i="693" a="1"/>
  <c r="T11" i="50"/>
  <c r="I19" i="46"/>
  <c r="K20" i="692"/>
  <c r="R92" i="714"/>
  <c r="R76" i="714"/>
  <c r="R60" i="714"/>
  <c r="R48" i="714"/>
  <c r="R40" i="714"/>
  <c r="R32" i="714"/>
  <c r="R24" i="714"/>
  <c r="R18" i="714"/>
  <c r="M13" i="714"/>
  <c r="B8" i="714"/>
  <c r="R2" i="714"/>
  <c r="G19" i="610"/>
  <c r="I10" i="609"/>
  <c r="I4" i="609"/>
  <c r="M3" i="710"/>
  <c r="I14" i="711"/>
  <c r="V17" i="625"/>
  <c r="X9" i="625"/>
  <c r="C209" i="535"/>
  <c r="C207" i="535"/>
  <c r="C205" i="535"/>
  <c r="C203" i="535"/>
  <c r="C201" i="535"/>
  <c r="C199" i="535"/>
  <c r="C197" i="535"/>
  <c r="C195" i="535"/>
  <c r="C193" i="535"/>
  <c r="C191" i="535"/>
  <c r="C189" i="535"/>
  <c r="C187" i="535"/>
  <c r="C185" i="535"/>
  <c r="C183" i="535"/>
  <c r="C181" i="535"/>
  <c r="C179" i="535"/>
  <c r="C178" i="535"/>
  <c r="S177" i="535"/>
  <c r="C177" i="535"/>
  <c r="S176" i="535"/>
  <c r="C176" i="535"/>
  <c r="S175" i="535"/>
  <c r="C175" i="535"/>
  <c r="S174" i="535"/>
  <c r="C174" i="535"/>
  <c r="S173" i="535"/>
  <c r="C173" i="535"/>
  <c r="S172" i="535"/>
  <c r="C172" i="535"/>
  <c r="S171" i="535"/>
  <c r="C171" i="535"/>
  <c r="S170" i="535"/>
  <c r="C170" i="535"/>
  <c r="S169" i="535"/>
  <c r="C169" i="535"/>
  <c r="S168" i="535"/>
  <c r="C168" i="535"/>
  <c r="S167" i="535"/>
  <c r="C167" i="535"/>
  <c r="S166" i="535"/>
  <c r="C166" i="535"/>
  <c r="S165" i="535"/>
  <c r="C165" i="535"/>
  <c r="S164" i="535"/>
  <c r="C164" i="535"/>
  <c r="S163" i="535"/>
  <c r="C163" i="535"/>
  <c r="S162" i="535"/>
  <c r="C162" i="535"/>
  <c r="S161" i="535"/>
  <c r="C161" i="535"/>
  <c r="S160" i="535"/>
  <c r="C160" i="535"/>
  <c r="S159" i="535"/>
  <c r="C159" i="535"/>
  <c r="S158" i="535"/>
  <c r="C158" i="535"/>
  <c r="S157" i="535"/>
  <c r="C157" i="535"/>
  <c r="S156" i="535"/>
  <c r="C156" i="535"/>
  <c r="S155" i="535"/>
  <c r="C155" i="535"/>
  <c r="S154" i="535"/>
  <c r="C154" i="535"/>
  <c r="S153" i="535"/>
  <c r="C153" i="535"/>
  <c r="S152" i="535"/>
  <c r="C152" i="535"/>
  <c r="S151" i="535"/>
  <c r="C151" i="535"/>
  <c r="S150" i="535"/>
  <c r="C150" i="535"/>
  <c r="S149" i="535"/>
  <c r="C149" i="535"/>
  <c r="S148" i="535"/>
  <c r="C148" i="535"/>
  <c r="S147" i="535"/>
  <c r="C147" i="535"/>
  <c r="S146" i="535"/>
  <c r="C146" i="535"/>
  <c r="S145" i="535"/>
  <c r="C145" i="535"/>
  <c r="S144" i="535"/>
  <c r="C144" i="535"/>
  <c r="S143" i="535"/>
  <c r="C143" i="535"/>
  <c r="S142" i="535"/>
  <c r="C142" i="535"/>
  <c r="S141" i="535"/>
  <c r="C141" i="535"/>
  <c r="S140" i="535"/>
  <c r="C140" i="535"/>
  <c r="S139" i="535"/>
  <c r="C139" i="535"/>
  <c r="S138" i="535"/>
  <c r="C138" i="535"/>
  <c r="S137" i="535"/>
  <c r="C137" i="535"/>
  <c r="S136" i="535"/>
  <c r="C136" i="535"/>
  <c r="S135" i="535"/>
  <c r="C135" i="535"/>
  <c r="S134" i="535"/>
  <c r="C134" i="535"/>
  <c r="S133" i="535"/>
  <c r="C133" i="535"/>
  <c r="S132" i="535"/>
  <c r="C132" i="535"/>
  <c r="S131" i="535"/>
  <c r="C131" i="535"/>
  <c r="S130" i="535"/>
  <c r="C130" i="535"/>
  <c r="S129" i="535"/>
  <c r="C129" i="535"/>
  <c r="S128" i="535"/>
  <c r="C128" i="535"/>
  <c r="S127" i="535"/>
  <c r="C127" i="535"/>
  <c r="S126" i="535"/>
  <c r="C126" i="535"/>
  <c r="S125" i="535"/>
  <c r="C125" i="535"/>
  <c r="S124" i="535"/>
  <c r="C124" i="535"/>
  <c r="S123" i="535"/>
  <c r="C123" i="535"/>
  <c r="S122" i="535"/>
  <c r="C122" i="535"/>
  <c r="S121" i="535"/>
  <c r="C121" i="535"/>
  <c r="S120" i="535"/>
  <c r="C120" i="535"/>
  <c r="S119" i="535"/>
  <c r="C119" i="535"/>
  <c r="S118" i="535"/>
  <c r="C118" i="535"/>
  <c r="S117" i="535"/>
  <c r="C117" i="535"/>
  <c r="S116" i="535"/>
  <c r="C116" i="535"/>
  <c r="S115" i="535"/>
  <c r="C115" i="535"/>
  <c r="S114" i="535"/>
  <c r="C114" i="535"/>
  <c r="S113" i="535"/>
  <c r="C113" i="535"/>
  <c r="S112" i="535"/>
  <c r="C112" i="535"/>
  <c r="S111" i="535"/>
  <c r="C111" i="535"/>
  <c r="S110" i="535"/>
  <c r="C110" i="535"/>
  <c r="S109" i="535"/>
  <c r="C109" i="535"/>
  <c r="S108" i="535"/>
  <c r="C108" i="535"/>
  <c r="S107" i="535"/>
  <c r="C107" i="535"/>
  <c r="S106" i="535"/>
  <c r="C106" i="535"/>
  <c r="S105" i="535"/>
  <c r="C105" i="535"/>
  <c r="S104" i="535"/>
  <c r="C104" i="535"/>
  <c r="S103" i="535"/>
  <c r="C103" i="535"/>
  <c r="S102" i="535"/>
  <c r="C102" i="535"/>
  <c r="S101" i="535"/>
  <c r="C101" i="535"/>
  <c r="S100" i="535"/>
  <c r="C100" i="535"/>
  <c r="S99" i="535"/>
  <c r="C99" i="535"/>
  <c r="S98" i="535"/>
  <c r="C98" i="535"/>
  <c r="S97" i="535"/>
  <c r="C97" i="535"/>
  <c r="S96" i="535"/>
  <c r="C96" i="535"/>
  <c r="S95" i="535"/>
  <c r="C95" i="535"/>
  <c r="S94" i="535"/>
  <c r="C94" i="535"/>
  <c r="S93" i="535"/>
  <c r="C93" i="535"/>
  <c r="S92" i="535"/>
  <c r="C92" i="535"/>
  <c r="S91" i="535"/>
  <c r="C91" i="535"/>
  <c r="S90" i="535"/>
  <c r="C90" i="535"/>
  <c r="S89" i="535"/>
  <c r="C89" i="535"/>
  <c r="S88" i="535"/>
  <c r="C88" i="535"/>
  <c r="S87" i="535"/>
  <c r="C87" i="535"/>
  <c r="S86" i="535"/>
  <c r="C86" i="535"/>
  <c r="S85" i="535"/>
  <c r="C85" i="535"/>
  <c r="S84" i="535"/>
  <c r="C84" i="535"/>
  <c r="S83" i="535"/>
  <c r="F58" i="536"/>
  <c r="I21" i="549"/>
  <c r="E92" i="546"/>
  <c r="C64" i="546"/>
  <c r="B48" i="546"/>
  <c r="B32" i="546"/>
  <c r="B16" i="546"/>
  <c r="AA3" i="693"/>
  <c r="G3" i="681"/>
  <c r="D12" i="46"/>
  <c r="AF9" i="692"/>
  <c r="R88" i="714"/>
  <c r="R72" i="714"/>
  <c r="R56" i="714"/>
  <c r="R46" i="714"/>
  <c r="R38" i="714"/>
  <c r="R30" i="714"/>
  <c r="R22" i="714"/>
  <c r="M17" i="714"/>
  <c r="B12" i="714"/>
  <c r="R6" i="714"/>
  <c r="R21" i="44"/>
  <c r="G14" i="610"/>
  <c r="N6" i="609"/>
  <c r="F13" i="710"/>
  <c r="I7" i="711"/>
  <c r="AA15" i="625"/>
  <c r="S7" i="625"/>
  <c r="S208" i="535"/>
  <c r="S206" i="535"/>
  <c r="S204" i="535"/>
  <c r="S202" i="535"/>
  <c r="S200" i="535"/>
  <c r="S198" i="535"/>
  <c r="S196" i="535"/>
  <c r="S194" i="535"/>
  <c r="S192" i="535"/>
  <c r="S190" i="535"/>
  <c r="S188" i="535"/>
  <c r="S186" i="535"/>
  <c r="S184" i="535"/>
  <c r="S182" i="535"/>
  <c r="S180" i="535"/>
  <c r="S178" i="535"/>
  <c r="B178" i="535"/>
  <c r="R177" i="535"/>
  <c r="B177" i="535"/>
  <c r="R176" i="535"/>
  <c r="B176" i="535"/>
  <c r="R175" i="535"/>
  <c r="B175" i="535"/>
  <c r="R174" i="535"/>
  <c r="B174" i="535"/>
  <c r="R173" i="535"/>
  <c r="B173" i="535"/>
  <c r="R172" i="535"/>
  <c r="B172" i="535"/>
  <c r="R171" i="535"/>
  <c r="B171" i="535"/>
  <c r="R170" i="535"/>
  <c r="B170" i="535"/>
  <c r="R169" i="535"/>
  <c r="B169" i="535"/>
  <c r="R168" i="535"/>
  <c r="B168" i="535"/>
  <c r="R167" i="535"/>
  <c r="B167" i="535"/>
  <c r="R166" i="535"/>
  <c r="B166" i="535"/>
  <c r="R165" i="535"/>
  <c r="B165" i="535"/>
  <c r="R164" i="535"/>
  <c r="B164" i="535"/>
  <c r="R163" i="535"/>
  <c r="B163" i="535"/>
  <c r="R162" i="535"/>
  <c r="B162" i="535"/>
  <c r="R161" i="535"/>
  <c r="B161" i="535"/>
  <c r="R160" i="535"/>
  <c r="B160" i="535"/>
  <c r="R159" i="535"/>
  <c r="B159" i="535"/>
  <c r="R158" i="535"/>
  <c r="B158" i="535"/>
  <c r="R157" i="535"/>
  <c r="B157" i="535"/>
  <c r="R156" i="535"/>
  <c r="B156" i="535"/>
  <c r="R155" i="535"/>
  <c r="B155" i="535"/>
  <c r="R154" i="535"/>
  <c r="B154" i="535"/>
  <c r="R153" i="535"/>
  <c r="B153" i="535"/>
  <c r="R152" i="535"/>
  <c r="B152" i="535"/>
  <c r="R151" i="535"/>
  <c r="B151" i="535"/>
  <c r="R150" i="535"/>
  <c r="B150" i="535"/>
  <c r="R149" i="535"/>
  <c r="B149" i="535"/>
  <c r="R148" i="535"/>
  <c r="B148" i="535"/>
  <c r="R147" i="535"/>
  <c r="B147" i="535"/>
  <c r="R146" i="535"/>
  <c r="B146" i="535"/>
  <c r="R145" i="535"/>
  <c r="B145" i="535"/>
  <c r="R144" i="535"/>
  <c r="B144" i="535"/>
  <c r="R143" i="535"/>
  <c r="B143" i="535"/>
  <c r="R142" i="535"/>
  <c r="B142" i="535"/>
  <c r="R141" i="535"/>
  <c r="B141" i="535"/>
  <c r="R140" i="535"/>
  <c r="B140" i="535"/>
  <c r="R139" i="535"/>
  <c r="B139" i="535"/>
  <c r="R138" i="535"/>
  <c r="B138" i="535"/>
  <c r="R137" i="535"/>
  <c r="B137" i="535"/>
  <c r="R136" i="535"/>
  <c r="B136" i="535"/>
  <c r="R135" i="535"/>
  <c r="B135" i="535"/>
  <c r="R134" i="535"/>
  <c r="B134" i="535"/>
  <c r="R133" i="535"/>
  <c r="B133" i="535"/>
  <c r="R132" i="535"/>
  <c r="B132" i="535"/>
  <c r="R131" i="535"/>
  <c r="B131" i="535"/>
  <c r="R130" i="535"/>
  <c r="B130" i="535"/>
  <c r="R129" i="535"/>
  <c r="B129" i="535"/>
  <c r="R128" i="535"/>
  <c r="B128" i="535"/>
  <c r="R127" i="535"/>
  <c r="B127" i="535"/>
  <c r="R126" i="535"/>
  <c r="B126" i="535"/>
  <c r="R125" i="535"/>
  <c r="B125" i="535"/>
  <c r="R124" i="535"/>
  <c r="B124" i="535"/>
  <c r="R123" i="535"/>
  <c r="B123" i="535"/>
  <c r="R122" i="535"/>
  <c r="B122" i="535"/>
  <c r="R121" i="535"/>
  <c r="B121" i="535"/>
  <c r="R120" i="535"/>
  <c r="B120" i="535"/>
  <c r="R119" i="535"/>
  <c r="B119" i="535"/>
  <c r="R118" i="535"/>
  <c r="B118" i="535"/>
  <c r="R117" i="535"/>
  <c r="B117" i="535"/>
  <c r="R116" i="535"/>
  <c r="B116" i="535"/>
  <c r="R115" i="535"/>
  <c r="B115" i="535"/>
  <c r="R114" i="535"/>
  <c r="B114" i="535"/>
  <c r="R113" i="535"/>
  <c r="B113" i="535"/>
  <c r="R112" i="535"/>
  <c r="B112" i="535"/>
  <c r="R111" i="535"/>
  <c r="B111" i="535"/>
  <c r="R110" i="535"/>
  <c r="B110" i="535"/>
  <c r="R109" i="535"/>
  <c r="B109" i="535"/>
  <c r="R108" i="535"/>
  <c r="B108" i="535"/>
  <c r="R107" i="535"/>
  <c r="B107" i="535"/>
  <c r="R106" i="535"/>
  <c r="B106" i="535"/>
  <c r="R105" i="535"/>
  <c r="B105" i="535"/>
  <c r="R104" i="535"/>
  <c r="B104" i="535"/>
  <c r="R103" i="535"/>
  <c r="B103" i="535"/>
  <c r="R102" i="535"/>
  <c r="B102" i="535"/>
  <c r="R101" i="535"/>
  <c r="B101" i="535"/>
  <c r="R100" i="535"/>
  <c r="B100" i="535"/>
  <c r="R99" i="535"/>
  <c r="B99" i="535"/>
  <c r="R98" i="535"/>
  <c r="B98" i="535"/>
  <c r="R97" i="535"/>
  <c r="B97" i="535"/>
  <c r="R96" i="535"/>
  <c r="B96" i="535"/>
  <c r="R95" i="535"/>
  <c r="B95" i="535"/>
  <c r="R94" i="535"/>
  <c r="B94" i="535"/>
  <c r="R93" i="535"/>
  <c r="B93" i="535"/>
  <c r="R92" i="535"/>
  <c r="B92" i="535"/>
  <c r="R91" i="535"/>
  <c r="B91" i="535"/>
  <c r="R90" i="535"/>
  <c r="B90" i="535"/>
  <c r="R89" i="535"/>
  <c r="B89" i="535"/>
  <c r="R88" i="535"/>
  <c r="B88" i="535"/>
  <c r="R87" i="535"/>
  <c r="B87" i="535"/>
  <c r="R86" i="535"/>
  <c r="B86" i="535"/>
  <c r="R85" i="535"/>
  <c r="B85" i="535"/>
  <c r="R84" i="535"/>
  <c r="B84" i="535"/>
  <c r="R83" i="535"/>
  <c r="C33" i="536"/>
  <c r="L9" i="548"/>
  <c r="E84" i="546"/>
  <c r="B60" i="546"/>
  <c r="B44" i="546"/>
  <c r="B28" i="546"/>
  <c r="B12" i="546"/>
  <c r="I45" i="727"/>
  <c r="O17" i="343"/>
  <c r="M12" i="48"/>
  <c r="I5" i="46"/>
  <c r="S29" i="692"/>
  <c r="AF7" i="692"/>
  <c r="T4" i="692" a="1"/>
  <c r="R100" i="714"/>
  <c r="R84" i="714"/>
  <c r="R68" i="714"/>
  <c r="R52" i="714"/>
  <c r="R44" i="714"/>
  <c r="R36" i="714"/>
  <c r="R28" i="714"/>
  <c r="M21" i="714"/>
  <c r="B16" i="714"/>
  <c r="R10" i="714"/>
  <c r="M5" i="714"/>
  <c r="R14" i="44"/>
  <c r="G9" i="610"/>
  <c r="G7" i="610"/>
  <c r="M10" i="710"/>
  <c r="I4" i="711"/>
  <c r="X14" i="625"/>
  <c r="AC5" i="625"/>
  <c r="C208" i="535"/>
  <c r="C206" i="535"/>
  <c r="C204" i="535"/>
  <c r="C202" i="535"/>
  <c r="C200" i="535"/>
  <c r="C198" i="535"/>
  <c r="C196" i="535"/>
  <c r="C194" i="535"/>
  <c r="C192" i="535"/>
  <c r="C190" i="535"/>
  <c r="C188" i="535"/>
  <c r="C186" i="535"/>
  <c r="C184" i="535"/>
  <c r="C182" i="535"/>
  <c r="C180" i="535"/>
  <c r="R178" i="535"/>
  <c r="U177" i="535"/>
  <c r="E177" i="535"/>
  <c r="U176" i="535"/>
  <c r="E176" i="535"/>
  <c r="U175" i="535"/>
  <c r="E175" i="535"/>
  <c r="U174" i="535"/>
  <c r="E174" i="535"/>
  <c r="U173" i="535"/>
  <c r="E173" i="535"/>
  <c r="U172" i="535"/>
  <c r="E172" i="535"/>
  <c r="U171" i="535"/>
  <c r="E171" i="535"/>
  <c r="U170" i="535"/>
  <c r="E170" i="535"/>
  <c r="U169" i="535"/>
  <c r="E169" i="535"/>
  <c r="U168" i="535"/>
  <c r="E168" i="535"/>
  <c r="U167" i="535"/>
  <c r="E167" i="535"/>
  <c r="U166" i="535"/>
  <c r="E166" i="535"/>
  <c r="U165" i="535"/>
  <c r="E165" i="535"/>
  <c r="U164" i="535"/>
  <c r="E164" i="535"/>
  <c r="U163" i="535"/>
  <c r="E163" i="535"/>
  <c r="U162" i="535"/>
  <c r="E162" i="535"/>
  <c r="U161" i="535"/>
  <c r="E161" i="535"/>
  <c r="U160" i="535"/>
  <c r="E160" i="535"/>
  <c r="U159" i="535"/>
  <c r="E159" i="535"/>
  <c r="U158" i="535"/>
  <c r="E158" i="535"/>
  <c r="U157" i="535"/>
  <c r="E157" i="535"/>
  <c r="U156" i="535"/>
  <c r="E156" i="535"/>
  <c r="U155" i="535"/>
  <c r="E155" i="535"/>
  <c r="U154" i="535"/>
  <c r="E154" i="535"/>
  <c r="U153" i="535"/>
  <c r="E153" i="535"/>
  <c r="U152" i="535"/>
  <c r="E152" i="535"/>
  <c r="U151" i="535"/>
  <c r="E151" i="535"/>
  <c r="U150" i="535"/>
  <c r="E150" i="535"/>
  <c r="U149" i="535"/>
  <c r="E149" i="535"/>
  <c r="U148" i="535"/>
  <c r="E148" i="535"/>
  <c r="U147" i="535"/>
  <c r="E147" i="535"/>
  <c r="U146" i="535"/>
  <c r="E146" i="535"/>
  <c r="U145" i="535"/>
  <c r="E145" i="535"/>
  <c r="U144" i="535"/>
  <c r="E144" i="535"/>
  <c r="U143" i="535"/>
  <c r="E143" i="535"/>
  <c r="U142" i="535"/>
  <c r="E142" i="535"/>
  <c r="U141" i="535"/>
  <c r="E141" i="535"/>
  <c r="U140" i="535"/>
  <c r="E140" i="535"/>
  <c r="U139" i="535"/>
  <c r="E139" i="535"/>
  <c r="U138" i="535"/>
  <c r="E138" i="535"/>
  <c r="U137" i="535"/>
  <c r="E137" i="535"/>
  <c r="U136" i="535"/>
  <c r="E136" i="535"/>
  <c r="U135" i="535"/>
  <c r="E135" i="535"/>
  <c r="U134" i="535"/>
  <c r="E134" i="535"/>
  <c r="U133" i="535"/>
  <c r="E133" i="535"/>
  <c r="U132" i="535"/>
  <c r="E132" i="535"/>
  <c r="U131" i="535"/>
  <c r="E131" i="535"/>
  <c r="U130" i="535"/>
  <c r="E130" i="535"/>
  <c r="U129" i="535"/>
  <c r="E129" i="535"/>
  <c r="U128" i="535"/>
  <c r="E128" i="535"/>
  <c r="U127" i="535"/>
  <c r="E127" i="535"/>
  <c r="U126" i="535"/>
  <c r="E126" i="535"/>
  <c r="U125" i="535"/>
  <c r="E125" i="535"/>
  <c r="U124" i="535"/>
  <c r="E124" i="535"/>
  <c r="U123" i="535"/>
  <c r="E123" i="535"/>
  <c r="U122" i="535"/>
  <c r="E122" i="535"/>
  <c r="U121" i="535"/>
  <c r="E121" i="535"/>
  <c r="U120" i="535"/>
  <c r="E120" i="535"/>
  <c r="U119" i="535"/>
  <c r="E119" i="535"/>
  <c r="U118" i="535"/>
  <c r="E118" i="535"/>
  <c r="U117" i="535"/>
  <c r="E117" i="535"/>
  <c r="U116" i="535"/>
  <c r="E116" i="535"/>
  <c r="U115" i="535"/>
  <c r="E115" i="535"/>
  <c r="U114" i="535"/>
  <c r="E114" i="535"/>
  <c r="U113" i="535"/>
  <c r="E113" i="535"/>
  <c r="U112" i="535"/>
  <c r="E112" i="535"/>
  <c r="U111" i="535"/>
  <c r="E111" i="535"/>
  <c r="U110" i="535"/>
  <c r="E110" i="535"/>
  <c r="U109" i="535"/>
  <c r="E109" i="535"/>
  <c r="U108" i="535"/>
  <c r="E108" i="535"/>
  <c r="U107" i="535"/>
  <c r="E107" i="535"/>
  <c r="U106" i="535"/>
  <c r="E106" i="535"/>
  <c r="U105" i="535"/>
  <c r="E105" i="535"/>
  <c r="U104" i="535"/>
  <c r="E104" i="535"/>
  <c r="U103" i="535"/>
  <c r="E103" i="535"/>
  <c r="U102" i="535"/>
  <c r="E102" i="535"/>
  <c r="U101" i="535"/>
  <c r="E101" i="535"/>
  <c r="U100" i="535"/>
  <c r="E100" i="535"/>
  <c r="U99" i="535"/>
  <c r="E99" i="535"/>
  <c r="U98" i="535"/>
  <c r="E98" i="535"/>
  <c r="U97" i="535"/>
  <c r="E97" i="535"/>
  <c r="U96" i="535"/>
  <c r="E96" i="535"/>
  <c r="U95" i="535"/>
  <c r="E95" i="535"/>
  <c r="U94" i="535"/>
  <c r="E94" i="535"/>
  <c r="U93" i="535"/>
  <c r="E93" i="535"/>
  <c r="U92" i="535"/>
  <c r="E92" i="535"/>
  <c r="U91" i="535"/>
  <c r="E91" i="535"/>
  <c r="U90" i="535"/>
  <c r="E90" i="535"/>
  <c r="U89" i="535"/>
  <c r="E89" i="535"/>
  <c r="U88" i="535"/>
  <c r="E88" i="535"/>
  <c r="U87" i="535"/>
  <c r="E87" i="535"/>
  <c r="U86" i="535"/>
  <c r="E86" i="535"/>
  <c r="U85" i="535"/>
  <c r="E85" i="535"/>
  <c r="U84" i="535"/>
  <c r="E84" i="535"/>
  <c r="U83" i="535"/>
  <c r="E83" i="535"/>
  <c r="U82" i="535"/>
  <c r="B19" i="536"/>
  <c r="B40" i="546"/>
  <c r="M5" i="48"/>
  <c r="R64" i="714"/>
  <c r="R26" i="714"/>
  <c r="B4" i="714"/>
  <c r="AA11" i="625"/>
  <c r="S203" i="535"/>
  <c r="S195" i="535"/>
  <c r="S187" i="535"/>
  <c r="S179" i="535"/>
  <c r="T176" i="535"/>
  <c r="T174" i="535"/>
  <c r="T172" i="535"/>
  <c r="T170" i="535"/>
  <c r="T168" i="535"/>
  <c r="T166" i="535"/>
  <c r="T164" i="535"/>
  <c r="T162" i="535"/>
  <c r="T160" i="535"/>
  <c r="T158" i="535"/>
  <c r="T156" i="535"/>
  <c r="T154" i="535"/>
  <c r="T152" i="535"/>
  <c r="T150" i="535"/>
  <c r="T148" i="535"/>
  <c r="T146" i="535"/>
  <c r="T144" i="535"/>
  <c r="T142" i="535"/>
  <c r="T140" i="535"/>
  <c r="T138" i="535"/>
  <c r="T136" i="535"/>
  <c r="T134" i="535"/>
  <c r="T132" i="535"/>
  <c r="T130" i="535"/>
  <c r="T128" i="535"/>
  <c r="T126" i="535"/>
  <c r="T124" i="535"/>
  <c r="T122" i="535"/>
  <c r="T120" i="535"/>
  <c r="T118" i="535"/>
  <c r="T116" i="535"/>
  <c r="T114" i="535"/>
  <c r="T112" i="535"/>
  <c r="T110" i="535"/>
  <c r="T108" i="535"/>
  <c r="T106" i="535"/>
  <c r="T104" i="535"/>
  <c r="T102" i="535"/>
  <c r="T100" i="535"/>
  <c r="T98" i="535"/>
  <c r="T96" i="535"/>
  <c r="T94" i="535"/>
  <c r="T92" i="535"/>
  <c r="T90" i="535"/>
  <c r="T88" i="535"/>
  <c r="T86" i="535"/>
  <c r="T84" i="535"/>
  <c r="C83" i="535"/>
  <c r="R82" i="535"/>
  <c r="B82" i="535"/>
  <c r="R81" i="535"/>
  <c r="B81" i="535"/>
  <c r="R80" i="535"/>
  <c r="B80" i="535"/>
  <c r="R79" i="535"/>
  <c r="B79" i="535"/>
  <c r="R78" i="535"/>
  <c r="B78" i="535"/>
  <c r="R77" i="535"/>
  <c r="B77" i="535"/>
  <c r="R76" i="535"/>
  <c r="B76" i="535"/>
  <c r="R75" i="535"/>
  <c r="B75" i="535"/>
  <c r="R74" i="535"/>
  <c r="B74" i="535"/>
  <c r="R73" i="535"/>
  <c r="B73" i="535"/>
  <c r="R72" i="535"/>
  <c r="B72" i="535"/>
  <c r="R71" i="535"/>
  <c r="B71" i="535"/>
  <c r="R70" i="535"/>
  <c r="B70" i="535"/>
  <c r="R69" i="535"/>
  <c r="B69" i="535"/>
  <c r="R68" i="535"/>
  <c r="B68" i="535"/>
  <c r="R67" i="535"/>
  <c r="B67" i="535"/>
  <c r="R66" i="535"/>
  <c r="B66" i="535"/>
  <c r="R65" i="535"/>
  <c r="B65" i="535"/>
  <c r="R64" i="535"/>
  <c r="B64" i="535"/>
  <c r="R63" i="535"/>
  <c r="B63" i="535"/>
  <c r="R62" i="535"/>
  <c r="B62" i="535"/>
  <c r="R61" i="535"/>
  <c r="B61" i="535"/>
  <c r="R60" i="535"/>
  <c r="B60" i="535"/>
  <c r="R59" i="535"/>
  <c r="B59" i="535"/>
  <c r="R58" i="535"/>
  <c r="B58" i="535"/>
  <c r="R57" i="535"/>
  <c r="B57" i="535"/>
  <c r="R56" i="535"/>
  <c r="B56" i="535"/>
  <c r="R55" i="535"/>
  <c r="B55" i="535"/>
  <c r="R54" i="535"/>
  <c r="B54" i="535"/>
  <c r="R53" i="535"/>
  <c r="B53" i="535"/>
  <c r="R52" i="535"/>
  <c r="B52" i="535"/>
  <c r="R51" i="535"/>
  <c r="B51" i="535"/>
  <c r="R50" i="535"/>
  <c r="B50" i="535"/>
  <c r="R49" i="535"/>
  <c r="B49" i="535"/>
  <c r="R48" i="535"/>
  <c r="B48" i="535"/>
  <c r="R47" i="535"/>
  <c r="B47" i="535"/>
  <c r="R46" i="535"/>
  <c r="B46" i="535"/>
  <c r="R45" i="535"/>
  <c r="B45" i="535"/>
  <c r="R44" i="535"/>
  <c r="B44" i="535"/>
  <c r="R43" i="535"/>
  <c r="B43" i="535"/>
  <c r="R42" i="535"/>
  <c r="B42" i="535"/>
  <c r="R41" i="535"/>
  <c r="B41" i="535"/>
  <c r="R40" i="535"/>
  <c r="B40" i="535"/>
  <c r="R39" i="535"/>
  <c r="B39" i="535"/>
  <c r="R38" i="535"/>
  <c r="B38" i="535"/>
  <c r="R37" i="535"/>
  <c r="B37" i="535"/>
  <c r="R36" i="535"/>
  <c r="B36" i="535"/>
  <c r="R35" i="535"/>
  <c r="B35" i="535"/>
  <c r="R34" i="535"/>
  <c r="B34" i="535"/>
  <c r="R33" i="535"/>
  <c r="B33" i="535"/>
  <c r="R32" i="535"/>
  <c r="B32" i="535"/>
  <c r="R31" i="535"/>
  <c r="B31" i="535"/>
  <c r="T30" i="535"/>
  <c r="D30" i="535"/>
  <c r="AI29" i="535"/>
  <c r="R29" i="535"/>
  <c r="B29" i="535"/>
  <c r="R28" i="535"/>
  <c r="C28" i="535"/>
  <c r="S27" i="535"/>
  <c r="D27" i="535"/>
  <c r="T26" i="535"/>
  <c r="D26" i="535"/>
  <c r="T25" i="535"/>
  <c r="D25" i="535"/>
  <c r="AK24" i="535"/>
  <c r="S24" i="535"/>
  <c r="C24" i="535"/>
  <c r="AI23" i="535"/>
  <c r="R23" i="535"/>
  <c r="B23" i="535"/>
  <c r="S22" i="535"/>
  <c r="C22" i="535"/>
  <c r="S21" i="535"/>
  <c r="C21" i="535"/>
  <c r="S20" i="535"/>
  <c r="C20" i="535"/>
  <c r="T19" i="535"/>
  <c r="D19" i="535"/>
  <c r="T18" i="535"/>
  <c r="D18" i="535"/>
  <c r="T17" i="535"/>
  <c r="D17" i="535"/>
  <c r="U16" i="535"/>
  <c r="E16" i="535"/>
  <c r="AX15" i="535"/>
  <c r="U15" i="535"/>
  <c r="E15" i="535"/>
  <c r="AX14" i="535"/>
  <c r="S14" i="535"/>
  <c r="C14" i="535"/>
  <c r="U13" i="535"/>
  <c r="E13" i="535"/>
  <c r="AS12" i="535"/>
  <c r="S12" i="535"/>
  <c r="C12" i="535"/>
  <c r="U11" i="535"/>
  <c r="E11" i="535"/>
  <c r="U10" i="535"/>
  <c r="E10" i="535"/>
  <c r="U9" i="535"/>
  <c r="E9" i="535"/>
  <c r="U8" i="535"/>
  <c r="E8" i="535"/>
  <c r="Y25" i="743"/>
  <c r="AE22" i="743"/>
  <c r="Q19" i="743"/>
  <c r="K15" i="743"/>
  <c r="AN13" i="743"/>
  <c r="K11" i="743"/>
  <c r="K10" i="743"/>
  <c r="AN7" i="743"/>
  <c r="AM6" i="743"/>
  <c r="AC24" i="742"/>
  <c r="Z21" i="742"/>
  <c r="K18" i="742"/>
  <c r="R17" i="742"/>
  <c r="E108" i="546"/>
  <c r="B24" i="546"/>
  <c r="R44" i="692"/>
  <c r="R50" i="714"/>
  <c r="B20" i="714"/>
  <c r="M5" i="710"/>
  <c r="S209" i="535"/>
  <c r="S201" i="535"/>
  <c r="S193" i="535"/>
  <c r="S185" i="535"/>
  <c r="E178" i="535"/>
  <c r="D176" i="535"/>
  <c r="D174" i="535"/>
  <c r="D172" i="535"/>
  <c r="D170" i="535"/>
  <c r="D168" i="535"/>
  <c r="D166" i="535"/>
  <c r="D164" i="535"/>
  <c r="D162" i="535"/>
  <c r="D160" i="535"/>
  <c r="D158" i="535"/>
  <c r="D156" i="535"/>
  <c r="D154" i="535"/>
  <c r="D152" i="535"/>
  <c r="D150" i="535"/>
  <c r="D148" i="535"/>
  <c r="D146" i="535"/>
  <c r="D144" i="535"/>
  <c r="D142" i="535"/>
  <c r="D140" i="535"/>
  <c r="D138" i="535"/>
  <c r="D136" i="535"/>
  <c r="D134" i="535"/>
  <c r="D132" i="535"/>
  <c r="D130" i="535"/>
  <c r="D128" i="535"/>
  <c r="D126" i="535"/>
  <c r="D124" i="535"/>
  <c r="D122" i="535"/>
  <c r="D120" i="535"/>
  <c r="D118" i="535"/>
  <c r="D116" i="535"/>
  <c r="D114" i="535"/>
  <c r="D112" i="535"/>
  <c r="D110" i="535"/>
  <c r="D108" i="535"/>
  <c r="D106" i="535"/>
  <c r="D104" i="535"/>
  <c r="D102" i="535"/>
  <c r="D100" i="535"/>
  <c r="D98" i="535"/>
  <c r="D96" i="535"/>
  <c r="D94" i="535"/>
  <c r="D92" i="535"/>
  <c r="D90" i="535"/>
  <c r="D88" i="535"/>
  <c r="D86" i="535"/>
  <c r="D84" i="535"/>
  <c r="B83" i="535"/>
  <c r="E82" i="535"/>
  <c r="U81" i="535"/>
  <c r="E81" i="535"/>
  <c r="U80" i="535"/>
  <c r="E80" i="535"/>
  <c r="U79" i="535"/>
  <c r="E79" i="535"/>
  <c r="U78" i="535"/>
  <c r="E78" i="535"/>
  <c r="U77" i="535"/>
  <c r="E77" i="535"/>
  <c r="U76" i="535"/>
  <c r="E76" i="535"/>
  <c r="U75" i="535"/>
  <c r="E75" i="535"/>
  <c r="U74" i="535"/>
  <c r="E74" i="535"/>
  <c r="U73" i="535"/>
  <c r="E73" i="535"/>
  <c r="U72" i="535"/>
  <c r="E72" i="535"/>
  <c r="U71" i="535"/>
  <c r="E71" i="535"/>
  <c r="U70" i="535"/>
  <c r="E70" i="535"/>
  <c r="U69" i="535"/>
  <c r="E69" i="535"/>
  <c r="U68" i="535"/>
  <c r="E68" i="535"/>
  <c r="U67" i="535"/>
  <c r="E67" i="535"/>
  <c r="U66" i="535"/>
  <c r="E66" i="535"/>
  <c r="U65" i="535"/>
  <c r="E65" i="535"/>
  <c r="U64" i="535"/>
  <c r="E64" i="535"/>
  <c r="U63" i="535"/>
  <c r="E63" i="535"/>
  <c r="U62" i="535"/>
  <c r="E62" i="535"/>
  <c r="U61" i="535"/>
  <c r="E61" i="535"/>
  <c r="U60" i="535"/>
  <c r="E60" i="535"/>
  <c r="U59" i="535"/>
  <c r="E59" i="535"/>
  <c r="U58" i="535"/>
  <c r="E58" i="535"/>
  <c r="U57" i="535"/>
  <c r="E57" i="535"/>
  <c r="U56" i="535"/>
  <c r="E56" i="535"/>
  <c r="U55" i="535"/>
  <c r="E55" i="535"/>
  <c r="U54" i="535"/>
  <c r="E54" i="535"/>
  <c r="U53" i="535"/>
  <c r="E53" i="535"/>
  <c r="U52" i="535"/>
  <c r="E52" i="535"/>
  <c r="U51" i="535"/>
  <c r="E51" i="535"/>
  <c r="U50" i="535"/>
  <c r="E50" i="535"/>
  <c r="U49" i="535"/>
  <c r="E49" i="535"/>
  <c r="U48" i="535"/>
  <c r="E48" i="535"/>
  <c r="U47" i="535"/>
  <c r="E47" i="535"/>
  <c r="U46" i="535"/>
  <c r="E46" i="535"/>
  <c r="U45" i="535"/>
  <c r="E45" i="535"/>
  <c r="U44" i="535"/>
  <c r="E44" i="535"/>
  <c r="U43" i="535"/>
  <c r="E43" i="535"/>
  <c r="U42" i="535"/>
  <c r="E42" i="535"/>
  <c r="U41" i="535"/>
  <c r="E41" i="535"/>
  <c r="U40" i="535"/>
  <c r="E40" i="535"/>
  <c r="U39" i="535"/>
  <c r="E39" i="535"/>
  <c r="U38" i="535"/>
  <c r="E38" i="535"/>
  <c r="U37" i="535"/>
  <c r="E37" i="535"/>
  <c r="U36" i="535"/>
  <c r="E36" i="535"/>
  <c r="U35" i="535"/>
  <c r="E35" i="535"/>
  <c r="U34" i="535"/>
  <c r="E34" i="535"/>
  <c r="U33" i="535"/>
  <c r="E33" i="535"/>
  <c r="U32" i="535"/>
  <c r="E32" i="535"/>
  <c r="U31" i="535"/>
  <c r="E31" i="535"/>
  <c r="AK30" i="535"/>
  <c r="S30" i="535"/>
  <c r="C30" i="535"/>
  <c r="U29" i="535"/>
  <c r="E29" i="535"/>
  <c r="U28" i="535"/>
  <c r="I28" i="535"/>
  <c r="B28" i="535"/>
  <c r="R27" i="535"/>
  <c r="C27" i="535"/>
  <c r="S26" i="535"/>
  <c r="C26" i="535"/>
  <c r="S25" i="535"/>
  <c r="C25" i="535"/>
  <c r="AI24" i="535"/>
  <c r="R24" i="535"/>
  <c r="B24" i="535"/>
  <c r="U23" i="535"/>
  <c r="E23" i="535"/>
  <c r="AX22" i="535"/>
  <c r="R22" i="535"/>
  <c r="B22" i="535"/>
  <c r="R21" i="535"/>
  <c r="B21" i="535"/>
  <c r="R20" i="535"/>
  <c r="B20" i="535"/>
  <c r="S19" i="535"/>
  <c r="C19" i="535"/>
  <c r="S18" i="535"/>
  <c r="C18" i="535"/>
  <c r="S17" i="535"/>
  <c r="C17" i="535"/>
  <c r="T16" i="535"/>
  <c r="D16" i="535"/>
  <c r="AS15" i="535"/>
  <c r="T15" i="535"/>
  <c r="D15" i="535"/>
  <c r="AI14" i="535"/>
  <c r="R14" i="535"/>
  <c r="B14" i="535"/>
  <c r="T13" i="535"/>
  <c r="D13" i="535"/>
  <c r="AP12" i="535"/>
  <c r="R12" i="535"/>
  <c r="B12" i="535"/>
  <c r="T11" i="535"/>
  <c r="D11" i="535"/>
  <c r="T10" i="535"/>
  <c r="D10" i="535"/>
  <c r="T9" i="535"/>
  <c r="D9" i="535"/>
  <c r="T8" i="535"/>
  <c r="D8" i="535"/>
  <c r="AF23" i="743"/>
  <c r="Z22" i="743"/>
  <c r="R18" i="743"/>
  <c r="AN14" i="743"/>
  <c r="AM13" i="743"/>
  <c r="Z8" i="743"/>
  <c r="AM7" i="743"/>
  <c r="K5" i="743"/>
  <c r="E5" i="743" a="1"/>
  <c r="D5" i="743" a="1"/>
  <c r="Y24" i="742"/>
  <c r="Y21" i="742"/>
  <c r="Q17" i="742"/>
  <c r="AL14" i="742"/>
  <c r="K13" i="742"/>
  <c r="AT11" i="742" a="1"/>
  <c r="AO11" i="742" a="1"/>
  <c r="K8" i="742"/>
  <c r="Y7" i="742"/>
  <c r="K28" i="748"/>
  <c r="K21" i="748"/>
  <c r="N14" i="748"/>
  <c r="I12" i="748"/>
  <c r="N10" i="748"/>
  <c r="I8" i="748"/>
  <c r="I3" i="748"/>
  <c r="F20" i="747" a="1"/>
  <c r="I15" i="747"/>
  <c r="I12" i="747"/>
  <c r="I7" i="747"/>
  <c r="I38" i="746"/>
  <c r="I32" i="746"/>
  <c r="I25" i="746"/>
  <c r="L18" i="746"/>
  <c r="G16" i="746"/>
  <c r="L14" i="746"/>
  <c r="G12" i="746"/>
  <c r="G9" i="746"/>
  <c r="G7" i="746"/>
  <c r="G3" i="746"/>
  <c r="E52" i="30"/>
  <c r="E45" i="30"/>
  <c r="I34" i="30"/>
  <c r="N51" i="29"/>
  <c r="X18" i="738"/>
  <c r="AE12" i="738"/>
  <c r="AE10" i="738"/>
  <c r="L12" i="540"/>
  <c r="D7" i="542"/>
  <c r="M26" i="538"/>
  <c r="G24" i="538"/>
  <c r="I22" i="538"/>
  <c r="M19" i="538"/>
  <c r="E76" i="546"/>
  <c r="B9" i="546"/>
  <c r="R96" i="714"/>
  <c r="R42" i="714"/>
  <c r="R14" i="714"/>
  <c r="G5" i="610"/>
  <c r="S207" i="535"/>
  <c r="S199" i="535"/>
  <c r="S191" i="535"/>
  <c r="S183" i="535"/>
  <c r="T177" i="535"/>
  <c r="T175" i="535"/>
  <c r="T173" i="535"/>
  <c r="T171" i="535"/>
  <c r="T169" i="535"/>
  <c r="T167" i="535"/>
  <c r="T165" i="535"/>
  <c r="T163" i="535"/>
  <c r="T161" i="535"/>
  <c r="T159" i="535"/>
  <c r="T157" i="535"/>
  <c r="T155" i="535"/>
  <c r="T153" i="535"/>
  <c r="T151" i="535"/>
  <c r="T149" i="535"/>
  <c r="T147" i="535"/>
  <c r="T145" i="535"/>
  <c r="T143" i="535"/>
  <c r="T141" i="535"/>
  <c r="T139" i="535"/>
  <c r="T137" i="535"/>
  <c r="T135" i="535"/>
  <c r="T133" i="535"/>
  <c r="T131" i="535"/>
  <c r="T129" i="535"/>
  <c r="T127" i="535"/>
  <c r="T125" i="535"/>
  <c r="T123" i="535"/>
  <c r="T121" i="535"/>
  <c r="T119" i="535"/>
  <c r="T117" i="535"/>
  <c r="T115" i="535"/>
  <c r="T113" i="535"/>
  <c r="T111" i="535"/>
  <c r="T109" i="535"/>
  <c r="T107" i="535"/>
  <c r="T105" i="535"/>
  <c r="T103" i="535"/>
  <c r="T101" i="535"/>
  <c r="T99" i="535"/>
  <c r="T97" i="535"/>
  <c r="T95" i="535"/>
  <c r="T93" i="535"/>
  <c r="T91" i="535"/>
  <c r="T89" i="535"/>
  <c r="T87" i="535"/>
  <c r="T85" i="535"/>
  <c r="T83" i="535"/>
  <c r="T82" i="535"/>
  <c r="D82" i="535"/>
  <c r="T81" i="535"/>
  <c r="D81" i="535"/>
  <c r="T80" i="535"/>
  <c r="D80" i="535"/>
  <c r="T79" i="535"/>
  <c r="D79" i="535"/>
  <c r="T78" i="535"/>
  <c r="D78" i="535"/>
  <c r="T77" i="535"/>
  <c r="D77" i="535"/>
  <c r="T76" i="535"/>
  <c r="D76" i="535"/>
  <c r="T75" i="535"/>
  <c r="D75" i="535"/>
  <c r="T74" i="535"/>
  <c r="D74" i="535"/>
  <c r="T73" i="535"/>
  <c r="D73" i="535"/>
  <c r="T72" i="535"/>
  <c r="D72" i="535"/>
  <c r="T71" i="535"/>
  <c r="D71" i="535"/>
  <c r="T70" i="535"/>
  <c r="D70" i="535"/>
  <c r="T69" i="535"/>
  <c r="D69" i="535"/>
  <c r="T68" i="535"/>
  <c r="D68" i="535"/>
  <c r="T67" i="535"/>
  <c r="D67" i="535"/>
  <c r="T66" i="535"/>
  <c r="D66" i="535"/>
  <c r="T65" i="535"/>
  <c r="D65" i="535"/>
  <c r="T64" i="535"/>
  <c r="D64" i="535"/>
  <c r="T63" i="535"/>
  <c r="D63" i="535"/>
  <c r="T62" i="535"/>
  <c r="D62" i="535"/>
  <c r="T61" i="535"/>
  <c r="D61" i="535"/>
  <c r="T60" i="535"/>
  <c r="D60" i="535"/>
  <c r="T59" i="535"/>
  <c r="D59" i="535"/>
  <c r="T58" i="535"/>
  <c r="D58" i="535"/>
  <c r="T57" i="535"/>
  <c r="D57" i="535"/>
  <c r="T56" i="535"/>
  <c r="D56" i="535"/>
  <c r="T55" i="535"/>
  <c r="D55" i="535"/>
  <c r="T54" i="535"/>
  <c r="D54" i="535"/>
  <c r="T53" i="535"/>
  <c r="D53" i="535"/>
  <c r="T52" i="535"/>
  <c r="D52" i="535"/>
  <c r="T51" i="535"/>
  <c r="D51" i="535"/>
  <c r="T50" i="535"/>
  <c r="D50" i="535"/>
  <c r="T49" i="535"/>
  <c r="D49" i="535"/>
  <c r="T48" i="535"/>
  <c r="D48" i="535"/>
  <c r="T47" i="535"/>
  <c r="D47" i="535"/>
  <c r="T46" i="535"/>
  <c r="D46" i="535"/>
  <c r="T45" i="535"/>
  <c r="D45" i="535"/>
  <c r="T44" i="535"/>
  <c r="D44" i="535"/>
  <c r="T43" i="535"/>
  <c r="D43" i="535"/>
  <c r="T42" i="535"/>
  <c r="D42" i="535"/>
  <c r="T41" i="535"/>
  <c r="D41" i="535"/>
  <c r="T40" i="535"/>
  <c r="D40" i="535"/>
  <c r="T39" i="535"/>
  <c r="D39" i="535"/>
  <c r="T38" i="535"/>
  <c r="D38" i="535"/>
  <c r="T37" i="535"/>
  <c r="D37" i="535"/>
  <c r="T36" i="535"/>
  <c r="D36" i="535"/>
  <c r="T35" i="535"/>
  <c r="D35" i="535"/>
  <c r="T34" i="535"/>
  <c r="D34" i="535"/>
  <c r="T33" i="535"/>
  <c r="D33" i="535"/>
  <c r="T32" i="535"/>
  <c r="D32" i="535"/>
  <c r="T31" i="535"/>
  <c r="D31" i="535"/>
  <c r="AI30" i="535"/>
  <c r="R30" i="535"/>
  <c r="B30" i="535"/>
  <c r="T29" i="535"/>
  <c r="D29" i="535"/>
  <c r="T28" i="535"/>
  <c r="E28" i="535"/>
  <c r="U27" i="535"/>
  <c r="I27" i="535"/>
  <c r="B27" i="535"/>
  <c r="R26" i="535"/>
  <c r="B26" i="535"/>
  <c r="R25" i="535"/>
  <c r="B25" i="535"/>
  <c r="U24" i="535"/>
  <c r="E24" i="535"/>
  <c r="AX23" i="535"/>
  <c r="T23" i="535"/>
  <c r="D23" i="535"/>
  <c r="U22" i="535"/>
  <c r="E22" i="535"/>
  <c r="U21" i="535"/>
  <c r="E21" i="535"/>
  <c r="U20" i="535"/>
  <c r="E20" i="535"/>
  <c r="AX19" i="535"/>
  <c r="R19" i="535"/>
  <c r="B19" i="535"/>
  <c r="R18" i="535"/>
  <c r="B18" i="535"/>
  <c r="R17" i="535"/>
  <c r="B17" i="535"/>
  <c r="S16" i="535"/>
  <c r="C16" i="535"/>
  <c r="AP15" i="535"/>
  <c r="S15" i="535"/>
  <c r="C15" i="535"/>
  <c r="U14" i="535"/>
  <c r="E14" i="535"/>
  <c r="AP13" i="535"/>
  <c r="S13" i="535"/>
  <c r="C13" i="535"/>
  <c r="U12" i="535"/>
  <c r="E12" i="535"/>
  <c r="AX11" i="535"/>
  <c r="S11" i="535"/>
  <c r="C11" i="535"/>
  <c r="S10" i="535"/>
  <c r="C10" i="535"/>
  <c r="S9" i="535"/>
  <c r="C9" i="535"/>
  <c r="S8" i="535"/>
  <c r="C8" i="535"/>
  <c r="AE23" i="743"/>
  <c r="Y22" i="743"/>
  <c r="Q18" i="743"/>
  <c r="G18" i="743" a="1"/>
  <c r="AM14" i="743"/>
  <c r="K13" i="743"/>
  <c r="Y8" i="743"/>
  <c r="K7" i="743"/>
  <c r="K4" i="743"/>
  <c r="AD23" i="742"/>
  <c r="R18" i="742"/>
  <c r="AL15" i="742"/>
  <c r="AK14" i="742"/>
  <c r="K12" i="742"/>
  <c r="K11" i="742"/>
  <c r="AL7" i="742"/>
  <c r="K7" i="742"/>
  <c r="F28" i="748"/>
  <c r="F21" i="748"/>
  <c r="I14" i="748"/>
  <c r="N11" i="748"/>
  <c r="I10" i="748"/>
  <c r="N6" i="748"/>
  <c r="F32" i="747"/>
  <c r="I18" i="747"/>
  <c r="G15" i="747"/>
  <c r="I10" i="747"/>
  <c r="I4" i="747"/>
  <c r="D32" i="746"/>
  <c r="D25" i="746"/>
  <c r="G18" i="746"/>
  <c r="L15" i="746"/>
  <c r="G14" i="746"/>
  <c r="L10" i="746"/>
  <c r="L8" i="746"/>
  <c r="L4" i="746"/>
  <c r="E55" i="30"/>
  <c r="E48" i="30"/>
  <c r="J35" i="30"/>
  <c r="O52" i="29"/>
  <c r="Y19" i="738"/>
  <c r="AG13" i="738"/>
  <c r="AG11" i="738"/>
  <c r="AG6" i="738"/>
  <c r="D12" i="542"/>
  <c r="B12" i="541"/>
  <c r="M25" i="538"/>
  <c r="M23" i="538"/>
  <c r="B56" i="546"/>
  <c r="R80" i="714"/>
  <c r="S189" i="535"/>
  <c r="D173" i="535"/>
  <c r="D165" i="535"/>
  <c r="D157" i="535"/>
  <c r="D149" i="535"/>
  <c r="D141" i="535"/>
  <c r="D133" i="535"/>
  <c r="D125" i="535"/>
  <c r="D117" i="535"/>
  <c r="D109" i="535"/>
  <c r="D101" i="535"/>
  <c r="D93" i="535"/>
  <c r="D85" i="535"/>
  <c r="S81" i="535"/>
  <c r="S79" i="535"/>
  <c r="S77" i="535"/>
  <c r="S75" i="535"/>
  <c r="S73" i="535"/>
  <c r="S71" i="535"/>
  <c r="S69" i="535"/>
  <c r="S67" i="535"/>
  <c r="S65" i="535"/>
  <c r="S63" i="535"/>
  <c r="S61" i="535"/>
  <c r="S59" i="535"/>
  <c r="S57" i="535"/>
  <c r="S55" i="535"/>
  <c r="S53" i="535"/>
  <c r="S51" i="535"/>
  <c r="S49" i="535"/>
  <c r="S47" i="535"/>
  <c r="S45" i="535"/>
  <c r="S43" i="535"/>
  <c r="S41" i="535"/>
  <c r="S39" i="535"/>
  <c r="S37" i="535"/>
  <c r="S35" i="535"/>
  <c r="S33" i="535"/>
  <c r="S31" i="535"/>
  <c r="AK29" i="535"/>
  <c r="D28" i="535"/>
  <c r="E26" i="535"/>
  <c r="T24" i="535"/>
  <c r="C23" i="535"/>
  <c r="D21" i="535"/>
  <c r="E19" i="535"/>
  <c r="E17" i="535"/>
  <c r="AN15" i="535"/>
  <c r="D14" i="535"/>
  <c r="T12" i="535"/>
  <c r="B11" i="535"/>
  <c r="B9" i="535"/>
  <c r="R19" i="743"/>
  <c r="K14" i="743"/>
  <c r="AV10" i="743" a="1"/>
  <c r="K8" i="743"/>
  <c r="AD24" i="742"/>
  <c r="G18" i="742" a="1"/>
  <c r="K14" i="742"/>
  <c r="Z7" i="742"/>
  <c r="F23" i="748" a="1"/>
  <c r="L12" i="748"/>
  <c r="N8" i="748"/>
  <c r="F25" i="747"/>
  <c r="I13" i="747"/>
  <c r="D54" i="31"/>
  <c r="I34" i="746" a="1"/>
  <c r="D20" i="746" a="1"/>
  <c r="G15" i="746"/>
  <c r="L9" i="746"/>
  <c r="L3" i="746"/>
  <c r="E46" i="30"/>
  <c r="O51" i="29"/>
  <c r="AG12" i="738"/>
  <c r="L13" i="540"/>
  <c r="B12" i="248"/>
  <c r="M22" i="538"/>
  <c r="M18" i="538"/>
  <c r="M15" i="538"/>
  <c r="M12" i="538"/>
  <c r="M10" i="538"/>
  <c r="M7" i="538"/>
  <c r="L34" i="745"/>
  <c r="L28" i="745"/>
  <c r="L21" i="745"/>
  <c r="O14" i="745"/>
  <c r="J12" i="745"/>
  <c r="O10" i="745"/>
  <c r="J8" i="745"/>
  <c r="J3" i="745"/>
  <c r="Q61" i="26"/>
  <c r="H35" i="722" a="1"/>
  <c r="K23" i="722"/>
  <c r="K19" i="722"/>
  <c r="K13" i="722"/>
  <c r="K5" i="722"/>
  <c r="M3" i="717" a="1"/>
  <c r="G17" i="721"/>
  <c r="F15" i="724"/>
  <c r="F10" i="724"/>
  <c r="F5" i="724"/>
  <c r="T23" i="734"/>
  <c r="T15" i="734"/>
  <c r="G6" i="720"/>
  <c r="H3" i="715"/>
  <c r="C12" i="723" a="1"/>
  <c r="F6" i="723"/>
  <c r="C10" i="716" a="1"/>
  <c r="I9" i="716"/>
  <c r="G5" i="716"/>
  <c r="F1002" i="733"/>
  <c r="F1000" i="733"/>
  <c r="F998" i="733"/>
  <c r="F996" i="733"/>
  <c r="F994" i="733"/>
  <c r="F992" i="733"/>
  <c r="F990" i="733"/>
  <c r="F988" i="733"/>
  <c r="F986" i="733"/>
  <c r="F984" i="733"/>
  <c r="F982" i="733"/>
  <c r="F980" i="733"/>
  <c r="F978" i="733"/>
  <c r="F976" i="733"/>
  <c r="F974" i="733"/>
  <c r="F972" i="733"/>
  <c r="F970" i="733"/>
  <c r="F968" i="733"/>
  <c r="F966" i="733"/>
  <c r="F964" i="733"/>
  <c r="F962" i="733"/>
  <c r="F960" i="733"/>
  <c r="F958" i="733"/>
  <c r="F956" i="733"/>
  <c r="F954" i="733"/>
  <c r="F952" i="733"/>
  <c r="F950" i="733"/>
  <c r="F948" i="733"/>
  <c r="F946" i="733"/>
  <c r="F944" i="733"/>
  <c r="F942" i="733"/>
  <c r="F940" i="733"/>
  <c r="F938" i="733"/>
  <c r="F936" i="733"/>
  <c r="F934" i="733"/>
  <c r="F932" i="733"/>
  <c r="F930" i="733"/>
  <c r="F928" i="733"/>
  <c r="F926" i="733"/>
  <c r="F924" i="733"/>
  <c r="F922" i="733"/>
  <c r="F920" i="733"/>
  <c r="F918" i="733"/>
  <c r="F916" i="733"/>
  <c r="F914" i="733"/>
  <c r="F912" i="733"/>
  <c r="F910" i="733"/>
  <c r="F908" i="733"/>
  <c r="F906" i="733"/>
  <c r="F904" i="733"/>
  <c r="F902" i="733"/>
  <c r="F900" i="733"/>
  <c r="F898" i="733"/>
  <c r="F896" i="733"/>
  <c r="F894" i="733"/>
  <c r="F892" i="733"/>
  <c r="F890" i="733"/>
  <c r="F888" i="733"/>
  <c r="F886" i="733"/>
  <c r="F884" i="733"/>
  <c r="F882" i="733"/>
  <c r="F880" i="733"/>
  <c r="F878" i="733"/>
  <c r="F876" i="733"/>
  <c r="F874" i="733"/>
  <c r="F872" i="733"/>
  <c r="F870" i="733"/>
  <c r="F868" i="733"/>
  <c r="F866" i="733"/>
  <c r="F864" i="733"/>
  <c r="F862" i="733"/>
  <c r="F860" i="733"/>
  <c r="F858" i="733"/>
  <c r="F856" i="733"/>
  <c r="F854" i="733"/>
  <c r="F852" i="733"/>
  <c r="F850" i="733"/>
  <c r="F848" i="733"/>
  <c r="F846" i="733"/>
  <c r="F844" i="733"/>
  <c r="F842" i="733"/>
  <c r="F840" i="733"/>
  <c r="F838" i="733"/>
  <c r="F836" i="733"/>
  <c r="F834" i="733"/>
  <c r="F832" i="733"/>
  <c r="F830" i="733"/>
  <c r="F828" i="733"/>
  <c r="F826" i="733"/>
  <c r="F824" i="733"/>
  <c r="F822" i="733"/>
  <c r="F820" i="733"/>
  <c r="F818" i="733"/>
  <c r="F816" i="733"/>
  <c r="F814" i="733"/>
  <c r="F812" i="733"/>
  <c r="F810" i="733"/>
  <c r="F808" i="733"/>
  <c r="F806" i="733"/>
  <c r="F804" i="733"/>
  <c r="F802" i="733"/>
  <c r="F800" i="733"/>
  <c r="F798" i="733"/>
  <c r="F796" i="733"/>
  <c r="F794" i="733"/>
  <c r="F792" i="733"/>
  <c r="F790" i="733"/>
  <c r="F788" i="733"/>
  <c r="F786" i="733"/>
  <c r="F784" i="733"/>
  <c r="F782" i="733"/>
  <c r="F780" i="733"/>
  <c r="F778" i="733"/>
  <c r="F776" i="733"/>
  <c r="F774" i="733"/>
  <c r="F772" i="733"/>
  <c r="F770" i="733"/>
  <c r="F768" i="733"/>
  <c r="F766" i="733"/>
  <c r="F764" i="733"/>
  <c r="F762" i="733"/>
  <c r="F760" i="733"/>
  <c r="F758" i="733"/>
  <c r="F756" i="733"/>
  <c r="F754" i="733"/>
  <c r="F752" i="733"/>
  <c r="F750" i="733"/>
  <c r="F748" i="733"/>
  <c r="F746" i="733"/>
  <c r="F744" i="733"/>
  <c r="F742" i="733"/>
  <c r="F740" i="733"/>
  <c r="F738" i="733"/>
  <c r="F736" i="733"/>
  <c r="F734" i="733"/>
  <c r="F732" i="733"/>
  <c r="F730" i="733"/>
  <c r="F728" i="733"/>
  <c r="F726" i="733"/>
  <c r="F724" i="733"/>
  <c r="F722" i="733"/>
  <c r="F720" i="733"/>
  <c r="F718" i="733"/>
  <c r="F716" i="733"/>
  <c r="F714" i="733"/>
  <c r="F712" i="733"/>
  <c r="F710" i="733"/>
  <c r="F708" i="733"/>
  <c r="F706" i="733"/>
  <c r="F704" i="733"/>
  <c r="F702" i="733"/>
  <c r="F700" i="733"/>
  <c r="F698" i="733"/>
  <c r="F696" i="733"/>
  <c r="F694" i="733"/>
  <c r="F692" i="733"/>
  <c r="F690" i="733"/>
  <c r="F688" i="733"/>
  <c r="F686" i="733"/>
  <c r="F684" i="733"/>
  <c r="F682" i="733"/>
  <c r="F680" i="733"/>
  <c r="F678" i="733"/>
  <c r="F676" i="733"/>
  <c r="F674" i="733"/>
  <c r="F672" i="733"/>
  <c r="F670" i="733"/>
  <c r="F668" i="733"/>
  <c r="F666" i="733"/>
  <c r="F664" i="733"/>
  <c r="F662" i="733"/>
  <c r="F660" i="733"/>
  <c r="F658" i="733"/>
  <c r="F656" i="733"/>
  <c r="F654" i="733"/>
  <c r="F652" i="733"/>
  <c r="F650" i="733"/>
  <c r="F648" i="733"/>
  <c r="F646" i="733"/>
  <c r="F644" i="733"/>
  <c r="F642" i="733"/>
  <c r="F640" i="733"/>
  <c r="F638" i="733"/>
  <c r="F636" i="733"/>
  <c r="F634" i="733"/>
  <c r="F632" i="733"/>
  <c r="F630" i="733"/>
  <c r="F628" i="733"/>
  <c r="F626" i="733"/>
  <c r="F624" i="733"/>
  <c r="F622" i="733"/>
  <c r="F620" i="733"/>
  <c r="F618" i="733"/>
  <c r="F616" i="733"/>
  <c r="F614" i="733"/>
  <c r="F612" i="733"/>
  <c r="F610" i="733"/>
  <c r="F608" i="733"/>
  <c r="F606" i="733"/>
  <c r="F604" i="733"/>
  <c r="F602" i="733"/>
  <c r="F600" i="733"/>
  <c r="F598" i="733"/>
  <c r="F596" i="733"/>
  <c r="F594" i="733"/>
  <c r="F592" i="733"/>
  <c r="F590" i="733"/>
  <c r="F588" i="733"/>
  <c r="F586" i="733"/>
  <c r="F584" i="733"/>
  <c r="F582" i="733"/>
  <c r="F580" i="733"/>
  <c r="F578" i="733"/>
  <c r="F576" i="733"/>
  <c r="R34" i="714"/>
  <c r="X23" i="625"/>
  <c r="S181" i="535"/>
  <c r="D171" i="535"/>
  <c r="D163" i="535"/>
  <c r="D155" i="535"/>
  <c r="D147" i="535"/>
  <c r="D139" i="535"/>
  <c r="D131" i="535"/>
  <c r="D123" i="535"/>
  <c r="D115" i="535"/>
  <c r="D107" i="535"/>
  <c r="D99" i="535"/>
  <c r="D91" i="535"/>
  <c r="D83" i="535"/>
  <c r="C81" i="535"/>
  <c r="C79" i="535"/>
  <c r="C77" i="535"/>
  <c r="C75" i="535"/>
  <c r="C73" i="535"/>
  <c r="C71" i="535"/>
  <c r="C69" i="535"/>
  <c r="C67" i="535"/>
  <c r="C65" i="535"/>
  <c r="C63" i="535"/>
  <c r="C61" i="535"/>
  <c r="C59" i="535"/>
  <c r="C57" i="535"/>
  <c r="C55" i="535"/>
  <c r="C53" i="535"/>
  <c r="C51" i="535"/>
  <c r="C49" i="535"/>
  <c r="C47" i="535"/>
  <c r="C45" i="535"/>
  <c r="C43" i="535"/>
  <c r="C41" i="535"/>
  <c r="C39" i="535"/>
  <c r="C37" i="535"/>
  <c r="C35" i="535"/>
  <c r="C33" i="535"/>
  <c r="C31" i="535"/>
  <c r="S29" i="535"/>
  <c r="T27" i="535"/>
  <c r="U25" i="535"/>
  <c r="D24" i="535"/>
  <c r="T22" i="535"/>
  <c r="T20" i="535"/>
  <c r="U18" i="535"/>
  <c r="AX16" i="535"/>
  <c r="R15" i="535"/>
  <c r="AN13" i="535"/>
  <c r="D12" i="535"/>
  <c r="R10" i="535"/>
  <c r="R8" i="535"/>
  <c r="K18" i="743"/>
  <c r="K12" i="743"/>
  <c r="AN6" i="743"/>
  <c r="AC23" i="742"/>
  <c r="AK15" i="742"/>
  <c r="AL8" i="742"/>
  <c r="K5" i="742"/>
  <c r="D5" i="742" a="1"/>
  <c r="K16" i="748" a="1"/>
  <c r="L11" i="748"/>
  <c r="I6" i="748"/>
  <c r="I16" i="747"/>
  <c r="I9" i="747"/>
  <c r="I27" i="746" a="1"/>
  <c r="L16" i="746"/>
  <c r="L13" i="746"/>
  <c r="G8" i="746"/>
  <c r="E54" i="30"/>
  <c r="I35" i="30"/>
  <c r="X19" i="738"/>
  <c r="AE11" i="738"/>
  <c r="B12" i="542"/>
  <c r="I25" i="538"/>
  <c r="M21" i="538"/>
  <c r="M17" i="538"/>
  <c r="M14" i="538"/>
  <c r="I12" i="538"/>
  <c r="M9" i="538"/>
  <c r="I7" i="538"/>
  <c r="G28" i="745"/>
  <c r="G21" i="745"/>
  <c r="J14" i="745"/>
  <c r="O11" i="745"/>
  <c r="J10" i="745"/>
  <c r="O6" i="745"/>
  <c r="S63" i="26"/>
  <c r="G41" i="26"/>
  <c r="K26" i="722"/>
  <c r="K22" i="722"/>
  <c r="V18" i="722" a="1"/>
  <c r="K11" i="722"/>
  <c r="K4" i="722"/>
  <c r="P3" i="717" a="1"/>
  <c r="F17" i="721"/>
  <c r="N3" i="721" a="1"/>
  <c r="C20" i="724" a="1"/>
  <c r="D15" i="724"/>
  <c r="F9" i="724"/>
  <c r="F4" i="724"/>
  <c r="R23" i="734"/>
  <c r="U7" i="719" a="1"/>
  <c r="G5" i="720"/>
  <c r="E8" i="715" a="1"/>
  <c r="F12" i="723"/>
  <c r="F10" i="723"/>
  <c r="F3" i="723"/>
  <c r="L9" i="716"/>
  <c r="H9" i="716"/>
  <c r="E1002" i="733"/>
  <c r="E1000" i="733"/>
  <c r="E998" i="733"/>
  <c r="E996" i="733"/>
  <c r="E994" i="733"/>
  <c r="E992" i="733"/>
  <c r="E990" i="733"/>
  <c r="E988" i="733"/>
  <c r="E986" i="733"/>
  <c r="E984" i="733"/>
  <c r="E982" i="733"/>
  <c r="E980" i="733"/>
  <c r="E978" i="733"/>
  <c r="E976" i="733"/>
  <c r="E974" i="733"/>
  <c r="E972" i="733"/>
  <c r="E970" i="733"/>
  <c r="E968" i="733"/>
  <c r="E966" i="733"/>
  <c r="E964" i="733"/>
  <c r="E962" i="733"/>
  <c r="E960" i="733"/>
  <c r="E958" i="733"/>
  <c r="E956" i="733"/>
  <c r="E954" i="733"/>
  <c r="E952" i="733"/>
  <c r="E950" i="733"/>
  <c r="E948" i="733"/>
  <c r="E946" i="733"/>
  <c r="E944" i="733"/>
  <c r="E942" i="733"/>
  <c r="E940" i="733"/>
  <c r="E938" i="733"/>
  <c r="E936" i="733"/>
  <c r="E934" i="733"/>
  <c r="E932" i="733"/>
  <c r="E930" i="733"/>
  <c r="E928" i="733"/>
  <c r="E926" i="733"/>
  <c r="E924" i="733"/>
  <c r="E922" i="733"/>
  <c r="E920" i="733"/>
  <c r="E918" i="733"/>
  <c r="E916" i="733"/>
  <c r="E914" i="733"/>
  <c r="E912" i="733"/>
  <c r="E910" i="733"/>
  <c r="E908" i="733"/>
  <c r="E906" i="733"/>
  <c r="E904" i="733"/>
  <c r="E902" i="733"/>
  <c r="E900" i="733"/>
  <c r="E898" i="733"/>
  <c r="E896" i="733"/>
  <c r="E894" i="733"/>
  <c r="E892" i="733"/>
  <c r="E890" i="733"/>
  <c r="E888" i="733"/>
  <c r="E886" i="733"/>
  <c r="E884" i="733"/>
  <c r="E882" i="733"/>
  <c r="E880" i="733"/>
  <c r="E878" i="733"/>
  <c r="E876" i="733"/>
  <c r="E874" i="733"/>
  <c r="E872" i="733"/>
  <c r="E870" i="733"/>
  <c r="E868" i="733"/>
  <c r="E866" i="733"/>
  <c r="E864" i="733"/>
  <c r="E862" i="733"/>
  <c r="E860" i="733"/>
  <c r="E858" i="733"/>
  <c r="E856" i="733"/>
  <c r="E854" i="733"/>
  <c r="E852" i="733"/>
  <c r="E850" i="733"/>
  <c r="E848" i="733"/>
  <c r="E846" i="733"/>
  <c r="E844" i="733"/>
  <c r="E842" i="733"/>
  <c r="E840" i="733"/>
  <c r="E838" i="733"/>
  <c r="E836" i="733"/>
  <c r="E834" i="733"/>
  <c r="E832" i="733"/>
  <c r="E830" i="733"/>
  <c r="E828" i="733"/>
  <c r="E826" i="733"/>
  <c r="E824" i="733"/>
  <c r="E822" i="733"/>
  <c r="E820" i="733"/>
  <c r="E818" i="733"/>
  <c r="E816" i="733"/>
  <c r="E814" i="733"/>
  <c r="E812" i="733"/>
  <c r="E810" i="733"/>
  <c r="E808" i="733"/>
  <c r="E806" i="733"/>
  <c r="E804" i="733"/>
  <c r="E802" i="733"/>
  <c r="E800" i="733"/>
  <c r="E798" i="733"/>
  <c r="E796" i="733"/>
  <c r="E794" i="733"/>
  <c r="E792" i="733"/>
  <c r="E790" i="733"/>
  <c r="E788" i="733"/>
  <c r="E786" i="733"/>
  <c r="E784" i="733"/>
  <c r="E782" i="733"/>
  <c r="E780" i="733"/>
  <c r="E778" i="733"/>
  <c r="E776" i="733"/>
  <c r="E774" i="733"/>
  <c r="E772" i="733"/>
  <c r="E770" i="733"/>
  <c r="E768" i="733"/>
  <c r="E766" i="733"/>
  <c r="E764" i="733"/>
  <c r="E762" i="733"/>
  <c r="E760" i="733"/>
  <c r="E758" i="733"/>
  <c r="E756" i="733"/>
  <c r="E754" i="733"/>
  <c r="E752" i="733"/>
  <c r="E750" i="733"/>
  <c r="E748" i="733"/>
  <c r="E746" i="733"/>
  <c r="E744" i="733"/>
  <c r="E742" i="733"/>
  <c r="E740" i="733"/>
  <c r="E738" i="733"/>
  <c r="E736" i="733"/>
  <c r="E734" i="733"/>
  <c r="E732" i="733"/>
  <c r="E730" i="733"/>
  <c r="E728" i="733"/>
  <c r="E726" i="733"/>
  <c r="E724" i="733"/>
  <c r="E722" i="733"/>
  <c r="E720" i="733"/>
  <c r="E718" i="733"/>
  <c r="E716" i="733"/>
  <c r="E714" i="733"/>
  <c r="E712" i="733"/>
  <c r="E710" i="733"/>
  <c r="E708" i="733"/>
  <c r="E706" i="733"/>
  <c r="E704" i="733"/>
  <c r="E702" i="733"/>
  <c r="E700" i="733"/>
  <c r="E698" i="733"/>
  <c r="E696" i="733"/>
  <c r="E694" i="733"/>
  <c r="E692" i="733"/>
  <c r="E690" i="733"/>
  <c r="E688" i="733"/>
  <c r="E686" i="733"/>
  <c r="E684" i="733"/>
  <c r="E682" i="733"/>
  <c r="E680" i="733"/>
  <c r="E678" i="733"/>
  <c r="E676" i="733"/>
  <c r="E674" i="733"/>
  <c r="E672" i="733"/>
  <c r="E670" i="733"/>
  <c r="E668" i="733"/>
  <c r="E666" i="733"/>
  <c r="E664" i="733"/>
  <c r="E662" i="733"/>
  <c r="E660" i="733"/>
  <c r="E658" i="733"/>
  <c r="E656" i="733"/>
  <c r="E654" i="733"/>
  <c r="E652" i="733"/>
  <c r="E650" i="733"/>
  <c r="E648" i="733"/>
  <c r="E646" i="733"/>
  <c r="E644" i="733"/>
  <c r="E642" i="733"/>
  <c r="E640" i="733"/>
  <c r="E638" i="733"/>
  <c r="E636" i="733"/>
  <c r="E634" i="733"/>
  <c r="E632" i="733"/>
  <c r="E630" i="733"/>
  <c r="E628" i="733"/>
  <c r="E626" i="733"/>
  <c r="E624" i="733"/>
  <c r="E622" i="733"/>
  <c r="E620" i="733"/>
  <c r="E618" i="733"/>
  <c r="E616" i="733"/>
  <c r="E614" i="733"/>
  <c r="E612" i="733"/>
  <c r="E610" i="733"/>
  <c r="E608" i="733"/>
  <c r="E606" i="733"/>
  <c r="E604" i="733"/>
  <c r="E602" i="733"/>
  <c r="E600" i="733"/>
  <c r="E598" i="733"/>
  <c r="E596" i="733"/>
  <c r="E594" i="733"/>
  <c r="E592" i="733"/>
  <c r="E590" i="733"/>
  <c r="E588" i="733"/>
  <c r="E586" i="733"/>
  <c r="E584" i="733"/>
  <c r="E582" i="733"/>
  <c r="E580" i="733"/>
  <c r="E578" i="733"/>
  <c r="E576" i="733"/>
  <c r="E574" i="733"/>
  <c r="E572" i="733"/>
  <c r="E570" i="733"/>
  <c r="E568" i="733"/>
  <c r="E566" i="733"/>
  <c r="E564" i="733"/>
  <c r="E562" i="733"/>
  <c r="E560" i="733"/>
  <c r="E558" i="733"/>
  <c r="E556" i="733"/>
  <c r="E554" i="733"/>
  <c r="E552" i="733"/>
  <c r="E550" i="733"/>
  <c r="E548" i="733"/>
  <c r="E546" i="733"/>
  <c r="E544" i="733"/>
  <c r="E542" i="733"/>
  <c r="E540" i="733"/>
  <c r="E538" i="733"/>
  <c r="E536" i="733"/>
  <c r="E534" i="733"/>
  <c r="E532" i="733"/>
  <c r="E530" i="733"/>
  <c r="E528" i="733"/>
  <c r="E526" i="733"/>
  <c r="E524" i="733"/>
  <c r="E522" i="733"/>
  <c r="E520" i="733"/>
  <c r="E518" i="733"/>
  <c r="E516" i="733"/>
  <c r="E514" i="733"/>
  <c r="E512" i="733"/>
  <c r="E510" i="733"/>
  <c r="E508" i="733"/>
  <c r="E506" i="733"/>
  <c r="E504" i="733"/>
  <c r="E502" i="733"/>
  <c r="E500" i="733"/>
  <c r="E498" i="733"/>
  <c r="E496" i="733"/>
  <c r="E494" i="733"/>
  <c r="E492" i="733"/>
  <c r="E490" i="733"/>
  <c r="E488" i="733"/>
  <c r="E486" i="733"/>
  <c r="E484" i="733"/>
  <c r="T21" i="50"/>
  <c r="M9" i="714"/>
  <c r="S205" i="535"/>
  <c r="D177" i="535"/>
  <c r="D169" i="535"/>
  <c r="D161" i="535"/>
  <c r="D153" i="535"/>
  <c r="D145" i="535"/>
  <c r="D137" i="535"/>
  <c r="D129" i="535"/>
  <c r="D121" i="535"/>
  <c r="D113" i="535"/>
  <c r="D105" i="535"/>
  <c r="D97" i="535"/>
  <c r="D89" i="535"/>
  <c r="S82" i="535"/>
  <c r="S80" i="535"/>
  <c r="S78" i="535"/>
  <c r="S76" i="535"/>
  <c r="S74" i="535"/>
  <c r="S72" i="535"/>
  <c r="S70" i="535"/>
  <c r="S68" i="535"/>
  <c r="S66" i="535"/>
  <c r="S64" i="535"/>
  <c r="S62" i="535"/>
  <c r="S60" i="535"/>
  <c r="S58" i="535"/>
  <c r="S56" i="535"/>
  <c r="S54" i="535"/>
  <c r="S52" i="535"/>
  <c r="S50" i="535"/>
  <c r="S48" i="535"/>
  <c r="S46" i="535"/>
  <c r="S44" i="535"/>
  <c r="S42" i="535"/>
  <c r="S40" i="535"/>
  <c r="S38" i="535"/>
  <c r="S36" i="535"/>
  <c r="S34" i="535"/>
  <c r="S32" i="535"/>
  <c r="U30" i="535"/>
  <c r="C29" i="535"/>
  <c r="E27" i="535"/>
  <c r="E25" i="535"/>
  <c r="AK23" i="535"/>
  <c r="D22" i="535"/>
  <c r="D20" i="535"/>
  <c r="E18" i="535"/>
  <c r="R16" i="535"/>
  <c r="B15" i="535"/>
  <c r="R13" i="535"/>
  <c r="AI11" i="535"/>
  <c r="B10" i="535"/>
  <c r="B8" i="535"/>
  <c r="Q18" i="742"/>
  <c r="K15" i="742"/>
  <c r="AK8" i="742"/>
  <c r="K4" i="742"/>
  <c r="F16" i="748" a="1"/>
  <c r="I11" i="748"/>
  <c r="N3" i="748"/>
  <c r="G16" i="747"/>
  <c r="I8" i="747"/>
  <c r="D27" i="746" a="1"/>
  <c r="J16" i="746"/>
  <c r="L12" i="746"/>
  <c r="L7" i="746"/>
  <c r="E53" i="30"/>
  <c r="J34" i="30"/>
  <c r="Y18" i="738"/>
  <c r="AG10" i="738"/>
  <c r="D11" i="542"/>
  <c r="M24" i="538"/>
  <c r="I21" i="538"/>
  <c r="M16" i="538"/>
  <c r="M13" i="538"/>
  <c r="M11" i="538"/>
  <c r="I9" i="538"/>
  <c r="M6" i="538"/>
  <c r="L23" i="745" a="1"/>
  <c r="L16" i="745" a="1"/>
  <c r="O12" i="745"/>
  <c r="M11" i="745"/>
  <c r="O9" i="745"/>
  <c r="J6" i="745"/>
  <c r="S62" i="26"/>
  <c r="G40" i="26"/>
  <c r="H26" i="722" a="1"/>
  <c r="K21" i="722"/>
  <c r="K18" i="722"/>
  <c r="K8" i="722"/>
  <c r="C4" i="722" a="1"/>
  <c r="S3" i="717" a="1"/>
  <c r="G15" i="721"/>
  <c r="Q3" i="721" a="1"/>
  <c r="F20" i="724"/>
  <c r="F14" i="724"/>
  <c r="F7" i="724"/>
  <c r="T24" i="734"/>
  <c r="M19" i="734"/>
  <c r="U11" i="719" a="1"/>
  <c r="N10" i="719" a="1"/>
  <c r="X7" i="719" a="1"/>
  <c r="G16" i="720"/>
  <c r="H8" i="715"/>
  <c r="H6" i="715"/>
  <c r="F9" i="723"/>
  <c r="K9" i="716"/>
  <c r="G9" i="716"/>
  <c r="F1001" i="733"/>
  <c r="F999" i="733"/>
  <c r="F997" i="733"/>
  <c r="F995" i="733"/>
  <c r="F993" i="733"/>
  <c r="F991" i="733"/>
  <c r="F989" i="733"/>
  <c r="F987" i="733"/>
  <c r="F985" i="733"/>
  <c r="F983" i="733"/>
  <c r="F981" i="733"/>
  <c r="F979" i="733"/>
  <c r="F977" i="733"/>
  <c r="F975" i="733"/>
  <c r="F973" i="733"/>
  <c r="F971" i="733"/>
  <c r="F969" i="733"/>
  <c r="F967" i="733"/>
  <c r="F965" i="733"/>
  <c r="F963" i="733"/>
  <c r="F961" i="733"/>
  <c r="F959" i="733"/>
  <c r="F957" i="733"/>
  <c r="F955" i="733"/>
  <c r="F953" i="733"/>
  <c r="F951" i="733"/>
  <c r="F949" i="733"/>
  <c r="F947" i="733"/>
  <c r="F945" i="733"/>
  <c r="F943" i="733"/>
  <c r="F941" i="733"/>
  <c r="F939" i="733"/>
  <c r="F937" i="733"/>
  <c r="F935" i="733"/>
  <c r="F933" i="733"/>
  <c r="F931" i="733"/>
  <c r="F929" i="733"/>
  <c r="F927" i="733"/>
  <c r="F925" i="733"/>
  <c r="F923" i="733"/>
  <c r="F921" i="733"/>
  <c r="F919" i="733"/>
  <c r="F917" i="733"/>
  <c r="F915" i="733"/>
  <c r="F913" i="733"/>
  <c r="F911" i="733"/>
  <c r="F909" i="733"/>
  <c r="F907" i="733"/>
  <c r="F905" i="733"/>
  <c r="F903" i="733"/>
  <c r="F901" i="733"/>
  <c r="F899" i="733"/>
  <c r="F897" i="733"/>
  <c r="F895" i="733"/>
  <c r="F893" i="733"/>
  <c r="F891" i="733"/>
  <c r="F889" i="733"/>
  <c r="F887" i="733"/>
  <c r="F885" i="733"/>
  <c r="F883" i="733"/>
  <c r="F881" i="733"/>
  <c r="F879" i="733"/>
  <c r="F877" i="733"/>
  <c r="F875" i="733"/>
  <c r="F873" i="733"/>
  <c r="F871" i="733"/>
  <c r="F869" i="733"/>
  <c r="F867" i="733"/>
  <c r="F865" i="733"/>
  <c r="F863" i="733"/>
  <c r="F861" i="733"/>
  <c r="F859" i="733"/>
  <c r="F857" i="733"/>
  <c r="F855" i="733"/>
  <c r="F853" i="733"/>
  <c r="F851" i="733"/>
  <c r="F849" i="733"/>
  <c r="F847" i="733"/>
  <c r="F845" i="733"/>
  <c r="F843" i="733"/>
  <c r="F841" i="733"/>
  <c r="F839" i="733"/>
  <c r="F837" i="733"/>
  <c r="F835" i="733"/>
  <c r="F833" i="733"/>
  <c r="F831" i="733"/>
  <c r="F829" i="733"/>
  <c r="F827" i="733"/>
  <c r="F825" i="733"/>
  <c r="F823" i="733"/>
  <c r="F821" i="733"/>
  <c r="F819" i="733"/>
  <c r="F817" i="733"/>
  <c r="F815" i="733"/>
  <c r="F813" i="733"/>
  <c r="F811" i="733"/>
  <c r="F809" i="733"/>
  <c r="F807" i="733"/>
  <c r="F805" i="733"/>
  <c r="F803" i="733"/>
  <c r="F801" i="733"/>
  <c r="F799" i="733"/>
  <c r="F797" i="733"/>
  <c r="F795" i="733"/>
  <c r="F793" i="733"/>
  <c r="F791" i="733"/>
  <c r="F789" i="733"/>
  <c r="F787" i="733"/>
  <c r="F785" i="733"/>
  <c r="F783" i="733"/>
  <c r="F781" i="733"/>
  <c r="F779" i="733"/>
  <c r="F777" i="733"/>
  <c r="F775" i="733"/>
  <c r="F773" i="733"/>
  <c r="F771" i="733"/>
  <c r="F769" i="733"/>
  <c r="F767" i="733"/>
  <c r="F765" i="733"/>
  <c r="F763" i="733"/>
  <c r="F761" i="733"/>
  <c r="F759" i="733"/>
  <c r="F757" i="733"/>
  <c r="F755" i="733"/>
  <c r="F753" i="733"/>
  <c r="F751" i="733"/>
  <c r="F749" i="733"/>
  <c r="F747" i="733"/>
  <c r="F745" i="733"/>
  <c r="F743" i="733"/>
  <c r="F741" i="733"/>
  <c r="F739" i="733"/>
  <c r="F737" i="733"/>
  <c r="F735" i="733"/>
  <c r="F733" i="733"/>
  <c r="F731" i="733"/>
  <c r="F729" i="733"/>
  <c r="F727" i="733"/>
  <c r="F725" i="733"/>
  <c r="F723" i="733"/>
  <c r="F721" i="733"/>
  <c r="F719" i="733"/>
  <c r="F717" i="733"/>
  <c r="F715" i="733"/>
  <c r="F713" i="733"/>
  <c r="F711" i="733"/>
  <c r="F709" i="733"/>
  <c r="F707" i="733"/>
  <c r="F705" i="733"/>
  <c r="F703" i="733"/>
  <c r="F701" i="733"/>
  <c r="F699" i="733"/>
  <c r="F697" i="733"/>
  <c r="F695" i="733"/>
  <c r="F693" i="733"/>
  <c r="F691" i="733"/>
  <c r="F689" i="733"/>
  <c r="F687" i="733"/>
  <c r="F685" i="733"/>
  <c r="F683" i="733"/>
  <c r="F681" i="733"/>
  <c r="F679" i="733"/>
  <c r="F677" i="733"/>
  <c r="F675" i="733"/>
  <c r="F673" i="733"/>
  <c r="F671" i="733"/>
  <c r="F669" i="733"/>
  <c r="F667" i="733"/>
  <c r="F665" i="733"/>
  <c r="F663" i="733"/>
  <c r="F661" i="733"/>
  <c r="F659" i="733"/>
  <c r="F657" i="733"/>
  <c r="F655" i="733"/>
  <c r="F653" i="733"/>
  <c r="F651" i="733"/>
  <c r="F649" i="733"/>
  <c r="F647" i="733"/>
  <c r="F645" i="733"/>
  <c r="F643" i="733"/>
  <c r="F641" i="733"/>
  <c r="F639" i="733"/>
  <c r="F637" i="733"/>
  <c r="F635" i="733"/>
  <c r="F633" i="733"/>
  <c r="F631" i="733"/>
  <c r="F629" i="733"/>
  <c r="F627" i="733"/>
  <c r="F625" i="733"/>
  <c r="F623" i="733"/>
  <c r="F621" i="733"/>
  <c r="F619" i="733"/>
  <c r="F617" i="733"/>
  <c r="F615" i="733"/>
  <c r="F613" i="733"/>
  <c r="F611" i="733"/>
  <c r="F609" i="733"/>
  <c r="F607" i="733"/>
  <c r="F605" i="733"/>
  <c r="F603" i="733"/>
  <c r="F601" i="733"/>
  <c r="F599" i="733"/>
  <c r="F597" i="733"/>
  <c r="F595" i="733"/>
  <c r="F593" i="733"/>
  <c r="F591" i="733"/>
  <c r="F589" i="733"/>
  <c r="F587" i="733"/>
  <c r="F585" i="733"/>
  <c r="Y24" i="692"/>
  <c r="D167" i="535"/>
  <c r="D135" i="535"/>
  <c r="D103" i="535"/>
  <c r="C80" i="535"/>
  <c r="C72" i="535"/>
  <c r="C64" i="535"/>
  <c r="C56" i="535"/>
  <c r="C48" i="535"/>
  <c r="C40" i="535"/>
  <c r="C32" i="535"/>
  <c r="AX24" i="535"/>
  <c r="U17" i="535"/>
  <c r="R11" i="535"/>
  <c r="I3" i="747"/>
  <c r="G10" i="746"/>
  <c r="AE13" i="738"/>
  <c r="M20" i="538"/>
  <c r="M8" i="538"/>
  <c r="G23" i="745" a="1"/>
  <c r="O8" i="745"/>
  <c r="K24" i="722"/>
  <c r="K7" i="722"/>
  <c r="K3" i="722"/>
  <c r="F15" i="721"/>
  <c r="F6" i="724"/>
  <c r="Q10" i="719"/>
  <c r="AA7" i="719" a="1"/>
  <c r="F7" i="723"/>
  <c r="I4" i="704" a="1"/>
  <c r="E995" i="733"/>
  <c r="E987" i="733"/>
  <c r="E979" i="733"/>
  <c r="E971" i="733"/>
  <c r="E963" i="733"/>
  <c r="E955" i="733"/>
  <c r="E947" i="733"/>
  <c r="E939" i="733"/>
  <c r="E931" i="733"/>
  <c r="E923" i="733"/>
  <c r="E915" i="733"/>
  <c r="E907" i="733"/>
  <c r="E899" i="733"/>
  <c r="E891" i="733"/>
  <c r="E883" i="733"/>
  <c r="E875" i="733"/>
  <c r="E867" i="733"/>
  <c r="E859" i="733"/>
  <c r="E851" i="733"/>
  <c r="E843" i="733"/>
  <c r="E835" i="733"/>
  <c r="E827" i="733"/>
  <c r="E819" i="733"/>
  <c r="E811" i="733"/>
  <c r="E803" i="733"/>
  <c r="E795" i="733"/>
  <c r="E787" i="733"/>
  <c r="E779" i="733"/>
  <c r="E771" i="733"/>
  <c r="E763" i="733"/>
  <c r="E755" i="733"/>
  <c r="E747" i="733"/>
  <c r="E739" i="733"/>
  <c r="E731" i="733"/>
  <c r="E723" i="733"/>
  <c r="E715" i="733"/>
  <c r="E707" i="733"/>
  <c r="E699" i="733"/>
  <c r="E691" i="733"/>
  <c r="E683" i="733"/>
  <c r="E675" i="733"/>
  <c r="E667" i="733"/>
  <c r="E659" i="733"/>
  <c r="E651" i="733"/>
  <c r="E643" i="733"/>
  <c r="E635" i="733"/>
  <c r="E627" i="733"/>
  <c r="E619" i="733"/>
  <c r="E611" i="733"/>
  <c r="E603" i="733"/>
  <c r="E595" i="733"/>
  <c r="E587" i="733"/>
  <c r="F581" i="733"/>
  <c r="F577" i="733"/>
  <c r="F574" i="733"/>
  <c r="F571" i="733"/>
  <c r="E569" i="733"/>
  <c r="F566" i="733"/>
  <c r="F563" i="733"/>
  <c r="E561" i="733"/>
  <c r="F558" i="733"/>
  <c r="F555" i="733"/>
  <c r="E553" i="733"/>
  <c r="F550" i="733"/>
  <c r="F547" i="733"/>
  <c r="E545" i="733"/>
  <c r="F542" i="733"/>
  <c r="F539" i="733"/>
  <c r="E537" i="733"/>
  <c r="F534" i="733"/>
  <c r="F531" i="733"/>
  <c r="E529" i="733"/>
  <c r="F526" i="733"/>
  <c r="F523" i="733"/>
  <c r="E521" i="733"/>
  <c r="F518" i="733"/>
  <c r="F515" i="733"/>
  <c r="E513" i="733"/>
  <c r="F510" i="733"/>
  <c r="F507" i="733"/>
  <c r="E505" i="733"/>
  <c r="F502" i="733"/>
  <c r="F499" i="733"/>
  <c r="E497" i="733"/>
  <c r="F494" i="733"/>
  <c r="F491" i="733"/>
  <c r="E489" i="733"/>
  <c r="F486" i="733"/>
  <c r="F483" i="733"/>
  <c r="F481" i="733"/>
  <c r="F479" i="733"/>
  <c r="F477" i="733"/>
  <c r="F475" i="733"/>
  <c r="F473" i="733"/>
  <c r="F471" i="733"/>
  <c r="F469" i="733"/>
  <c r="F467" i="733"/>
  <c r="F465" i="733"/>
  <c r="F463" i="733"/>
  <c r="F461" i="733"/>
  <c r="F459" i="733"/>
  <c r="F457" i="733"/>
  <c r="F455" i="733"/>
  <c r="F453" i="733"/>
  <c r="F451" i="733"/>
  <c r="F449" i="733"/>
  <c r="F447" i="733"/>
  <c r="F445" i="733"/>
  <c r="F443" i="733"/>
  <c r="F441" i="733"/>
  <c r="F439" i="733"/>
  <c r="F437" i="733"/>
  <c r="F435" i="733"/>
  <c r="F433" i="733"/>
  <c r="F431" i="733"/>
  <c r="F429" i="733"/>
  <c r="F427" i="733"/>
  <c r="F425" i="733"/>
  <c r="F423" i="733"/>
  <c r="F421" i="733"/>
  <c r="F419" i="733"/>
  <c r="F417" i="733"/>
  <c r="F415" i="733"/>
  <c r="F413" i="733"/>
  <c r="F411" i="733"/>
  <c r="F409" i="733"/>
  <c r="F407" i="733"/>
  <c r="F405" i="733"/>
  <c r="F403" i="733"/>
  <c r="F401" i="733"/>
  <c r="F399" i="733"/>
  <c r="F397" i="733"/>
  <c r="F395" i="733"/>
  <c r="F393" i="733"/>
  <c r="F391" i="733"/>
  <c r="F389" i="733"/>
  <c r="F387" i="733"/>
  <c r="F385" i="733"/>
  <c r="F383" i="733"/>
  <c r="F381" i="733"/>
  <c r="F379" i="733"/>
  <c r="F377" i="733"/>
  <c r="F375" i="733"/>
  <c r="F373" i="733"/>
  <c r="F371" i="733"/>
  <c r="F369" i="733"/>
  <c r="F367" i="733"/>
  <c r="F365" i="733"/>
  <c r="F363" i="733"/>
  <c r="F361" i="733"/>
  <c r="F359" i="733"/>
  <c r="F357" i="733"/>
  <c r="F355" i="733"/>
  <c r="F353" i="733"/>
  <c r="F351" i="733"/>
  <c r="F349" i="733"/>
  <c r="F347" i="733"/>
  <c r="F345" i="733"/>
  <c r="F343" i="733"/>
  <c r="F341" i="733"/>
  <c r="F339" i="733"/>
  <c r="F337" i="733"/>
  <c r="F335" i="733"/>
  <c r="F333" i="733"/>
  <c r="F331" i="733"/>
  <c r="F329" i="733"/>
  <c r="F327" i="733"/>
  <c r="F325" i="733"/>
  <c r="F323" i="733"/>
  <c r="F321" i="733"/>
  <c r="F319" i="733"/>
  <c r="F317" i="733"/>
  <c r="F315" i="733"/>
  <c r="F313" i="733"/>
  <c r="F311" i="733"/>
  <c r="F309" i="733"/>
  <c r="F307" i="733"/>
  <c r="F305" i="733"/>
  <c r="F303" i="733"/>
  <c r="F301" i="733"/>
  <c r="F299" i="733"/>
  <c r="F297" i="733"/>
  <c r="F295" i="733"/>
  <c r="F293" i="733"/>
  <c r="F291" i="733"/>
  <c r="F289" i="733"/>
  <c r="F287" i="733"/>
  <c r="F285" i="733"/>
  <c r="F283" i="733"/>
  <c r="F281" i="733"/>
  <c r="F279" i="733"/>
  <c r="F277" i="733"/>
  <c r="F275" i="733"/>
  <c r="F273" i="733"/>
  <c r="F271" i="733"/>
  <c r="F269" i="733"/>
  <c r="F267" i="733"/>
  <c r="F265" i="733"/>
  <c r="F263" i="733"/>
  <c r="F261" i="733"/>
  <c r="F259" i="733"/>
  <c r="F257" i="733"/>
  <c r="F255" i="733"/>
  <c r="F253" i="733"/>
  <c r="F251" i="733"/>
  <c r="F249" i="733"/>
  <c r="F247" i="733"/>
  <c r="F245" i="733"/>
  <c r="F243" i="733"/>
  <c r="F241" i="733"/>
  <c r="F239" i="733"/>
  <c r="F237" i="733"/>
  <c r="F235" i="733"/>
  <c r="F233" i="733"/>
  <c r="F231" i="733"/>
  <c r="F229" i="733"/>
  <c r="F227" i="733"/>
  <c r="F225" i="733"/>
  <c r="F223" i="733"/>
  <c r="F221" i="733"/>
  <c r="F219" i="733"/>
  <c r="F217" i="733"/>
  <c r="F215" i="733"/>
  <c r="F213" i="733"/>
  <c r="F211" i="733"/>
  <c r="F209" i="733"/>
  <c r="F207" i="733"/>
  <c r="F205" i="733"/>
  <c r="F203" i="733"/>
  <c r="F201" i="733"/>
  <c r="F199" i="733"/>
  <c r="F197" i="733"/>
  <c r="F195" i="733"/>
  <c r="F193" i="733"/>
  <c r="F191" i="733"/>
  <c r="F189" i="733"/>
  <c r="F187" i="733"/>
  <c r="F185" i="733"/>
  <c r="F183" i="733"/>
  <c r="F181" i="733"/>
  <c r="F179" i="733"/>
  <c r="F177" i="733"/>
  <c r="F175" i="733"/>
  <c r="F173" i="733"/>
  <c r="F171" i="733"/>
  <c r="F169" i="733"/>
  <c r="F167" i="733"/>
  <c r="F165" i="733"/>
  <c r="F163" i="733"/>
  <c r="F161" i="733"/>
  <c r="F159" i="733"/>
  <c r="F157" i="733"/>
  <c r="F155" i="733"/>
  <c r="F153" i="733"/>
  <c r="F151" i="733"/>
  <c r="F149" i="733"/>
  <c r="F147" i="733"/>
  <c r="F145" i="733"/>
  <c r="F143" i="733"/>
  <c r="F141" i="733"/>
  <c r="F139" i="733"/>
  <c r="F137" i="733"/>
  <c r="F135" i="733"/>
  <c r="F133" i="733"/>
  <c r="F131" i="733"/>
  <c r="F129" i="733"/>
  <c r="F127" i="733"/>
  <c r="F125" i="733"/>
  <c r="F123" i="733"/>
  <c r="F121" i="733"/>
  <c r="F119" i="733"/>
  <c r="F117" i="733"/>
  <c r="F115" i="733"/>
  <c r="F113" i="733"/>
  <c r="F111" i="733"/>
  <c r="F109" i="733"/>
  <c r="F107" i="733"/>
  <c r="F105" i="733"/>
  <c r="F103" i="733"/>
  <c r="F101" i="733"/>
  <c r="F99" i="733"/>
  <c r="F97" i="733"/>
  <c r="F95" i="733"/>
  <c r="F93" i="733"/>
  <c r="F91" i="733"/>
  <c r="F89" i="733"/>
  <c r="F87" i="733"/>
  <c r="F85" i="733"/>
  <c r="F83" i="733"/>
  <c r="F81" i="733"/>
  <c r="F79" i="733"/>
  <c r="F77" i="733"/>
  <c r="F75" i="733"/>
  <c r="F73" i="733"/>
  <c r="F71" i="733"/>
  <c r="F69" i="733"/>
  <c r="F67" i="733"/>
  <c r="F65" i="733"/>
  <c r="F63" i="733"/>
  <c r="F61" i="733"/>
  <c r="F59" i="733"/>
  <c r="F57" i="733"/>
  <c r="F55" i="733"/>
  <c r="F53" i="733"/>
  <c r="F51" i="733"/>
  <c r="F49" i="733"/>
  <c r="F47" i="733"/>
  <c r="F45" i="733"/>
  <c r="F43" i="733"/>
  <c r="F41" i="733"/>
  <c r="F39" i="733"/>
  <c r="F37" i="733"/>
  <c r="F35" i="733"/>
  <c r="F33" i="733"/>
  <c r="F31" i="733"/>
  <c r="F29" i="733"/>
  <c r="F27" i="733"/>
  <c r="F25" i="733"/>
  <c r="F23" i="733"/>
  <c r="F21" i="733"/>
  <c r="F19" i="733"/>
  <c r="F17" i="733"/>
  <c r="F15" i="733"/>
  <c r="F13" i="733"/>
  <c r="F11" i="733"/>
  <c r="F9" i="733"/>
  <c r="E8" i="733"/>
  <c r="F6" i="733"/>
  <c r="F4" i="733"/>
  <c r="R27" i="736"/>
  <c r="R23" i="736"/>
  <c r="R19" i="736"/>
  <c r="R17" i="736"/>
  <c r="O16" i="736"/>
  <c r="N15" i="736"/>
  <c r="R13" i="736"/>
  <c r="O12" i="736"/>
  <c r="N11" i="736"/>
  <c r="R9" i="736"/>
  <c r="O8" i="736"/>
  <c r="N7" i="736"/>
  <c r="H12" i="559"/>
  <c r="B17" i="570"/>
  <c r="D13" i="570"/>
  <c r="Q24" i="564"/>
  <c r="D20" i="316"/>
  <c r="B22" i="562"/>
  <c r="I16" i="562"/>
  <c r="I10" i="562"/>
  <c r="D7" i="562"/>
  <c r="I4" i="562"/>
  <c r="K11" i="689"/>
  <c r="L8" i="682"/>
  <c r="G8" i="682"/>
  <c r="J7" i="682"/>
  <c r="L6" i="682"/>
  <c r="G6" i="682"/>
  <c r="J5" i="682"/>
  <c r="L4" i="682"/>
  <c r="G4" i="682"/>
  <c r="J3" i="682"/>
  <c r="I49" i="569"/>
  <c r="G48" i="569"/>
  <c r="E43" i="569"/>
  <c r="I32" i="569"/>
  <c r="E28" i="569"/>
  <c r="E7" i="569"/>
  <c r="J18" i="568"/>
  <c r="K26" i="567"/>
  <c r="K8" i="567"/>
  <c r="D38" i="566"/>
  <c r="P4" i="330" a="1"/>
  <c r="D19" i="328" a="1"/>
  <c r="L3" i="328"/>
  <c r="J21" i="695"/>
  <c r="D159" i="535"/>
  <c r="D127" i="535"/>
  <c r="D95" i="535"/>
  <c r="C78" i="535"/>
  <c r="C70" i="535"/>
  <c r="C62" i="535"/>
  <c r="C54" i="535"/>
  <c r="C46" i="535"/>
  <c r="C38" i="535"/>
  <c r="E30" i="535"/>
  <c r="S23" i="535"/>
  <c r="B16" i="535"/>
  <c r="R9" i="535"/>
  <c r="AQ10" i="743" a="1"/>
  <c r="Y14" i="742"/>
  <c r="AK7" i="742"/>
  <c r="F27" i="747" a="1"/>
  <c r="I20" i="746" a="1"/>
  <c r="G4" i="746"/>
  <c r="AG5" i="738"/>
  <c r="I16" i="538"/>
  <c r="I6" i="538"/>
  <c r="G16" i="745" a="1"/>
  <c r="O3" i="745"/>
  <c r="K20" i="722"/>
  <c r="G18" i="721"/>
  <c r="R24" i="734"/>
  <c r="H5" i="715"/>
  <c r="E1001" i="733"/>
  <c r="E993" i="733"/>
  <c r="E985" i="733"/>
  <c r="E977" i="733"/>
  <c r="E969" i="733"/>
  <c r="E961" i="733"/>
  <c r="E953" i="733"/>
  <c r="E945" i="733"/>
  <c r="E937" i="733"/>
  <c r="E929" i="733"/>
  <c r="E921" i="733"/>
  <c r="E913" i="733"/>
  <c r="E905" i="733"/>
  <c r="E897" i="733"/>
  <c r="E889" i="733"/>
  <c r="E881" i="733"/>
  <c r="E873" i="733"/>
  <c r="E865" i="733"/>
  <c r="E857" i="733"/>
  <c r="E849" i="733"/>
  <c r="E841" i="733"/>
  <c r="E833" i="733"/>
  <c r="E825" i="733"/>
  <c r="E817" i="733"/>
  <c r="E809" i="733"/>
  <c r="E801" i="733"/>
  <c r="E793" i="733"/>
  <c r="E785" i="733"/>
  <c r="E777" i="733"/>
  <c r="E769" i="733"/>
  <c r="E761" i="733"/>
  <c r="E753" i="733"/>
  <c r="E745" i="733"/>
  <c r="E737" i="733"/>
  <c r="E729" i="733"/>
  <c r="E721" i="733"/>
  <c r="E713" i="733"/>
  <c r="E705" i="733"/>
  <c r="E697" i="733"/>
  <c r="E689" i="733"/>
  <c r="E681" i="733"/>
  <c r="E673" i="733"/>
  <c r="E665" i="733"/>
  <c r="E657" i="733"/>
  <c r="E649" i="733"/>
  <c r="E641" i="733"/>
  <c r="E633" i="733"/>
  <c r="E625" i="733"/>
  <c r="E617" i="733"/>
  <c r="E609" i="733"/>
  <c r="E601" i="733"/>
  <c r="E593" i="733"/>
  <c r="E585" i="733"/>
  <c r="E581" i="733"/>
  <c r="E577" i="733"/>
  <c r="F573" i="733"/>
  <c r="E571" i="733"/>
  <c r="F568" i="733"/>
  <c r="F565" i="733"/>
  <c r="E563" i="733"/>
  <c r="F560" i="733"/>
  <c r="F557" i="733"/>
  <c r="E555" i="733"/>
  <c r="F552" i="733"/>
  <c r="F549" i="733"/>
  <c r="E547" i="733"/>
  <c r="F544" i="733"/>
  <c r="F541" i="733"/>
  <c r="E539" i="733"/>
  <c r="F536" i="733"/>
  <c r="F533" i="733"/>
  <c r="E531" i="733"/>
  <c r="F528" i="733"/>
  <c r="F525" i="733"/>
  <c r="E523" i="733"/>
  <c r="F520" i="733"/>
  <c r="F517" i="733"/>
  <c r="E515" i="733"/>
  <c r="F512" i="733"/>
  <c r="F509" i="733"/>
  <c r="E507" i="733"/>
  <c r="F504" i="733"/>
  <c r="F501" i="733"/>
  <c r="E499" i="733"/>
  <c r="F496" i="733"/>
  <c r="F493" i="733"/>
  <c r="E491" i="733"/>
  <c r="F488" i="733"/>
  <c r="F485" i="733"/>
  <c r="E483" i="733"/>
  <c r="E481" i="733"/>
  <c r="E479" i="733"/>
  <c r="E477" i="733"/>
  <c r="E475" i="733"/>
  <c r="E473" i="733"/>
  <c r="E471" i="733"/>
  <c r="E469" i="733"/>
  <c r="E467" i="733"/>
  <c r="E465" i="733"/>
  <c r="E463" i="733"/>
  <c r="E461" i="733"/>
  <c r="E459" i="733"/>
  <c r="E457" i="733"/>
  <c r="E455" i="733"/>
  <c r="E453" i="733"/>
  <c r="E451" i="733"/>
  <c r="E449" i="733"/>
  <c r="E447" i="733"/>
  <c r="E445" i="733"/>
  <c r="E443" i="733"/>
  <c r="E441" i="733"/>
  <c r="E439" i="733"/>
  <c r="E437" i="733"/>
  <c r="E435" i="733"/>
  <c r="E433" i="733"/>
  <c r="E431" i="733"/>
  <c r="E429" i="733"/>
  <c r="E427" i="733"/>
  <c r="E425" i="733"/>
  <c r="E423" i="733"/>
  <c r="E421" i="733"/>
  <c r="E419" i="733"/>
  <c r="E417" i="733"/>
  <c r="E415" i="733"/>
  <c r="E413" i="733"/>
  <c r="E411" i="733"/>
  <c r="E409" i="733"/>
  <c r="E407" i="733"/>
  <c r="E405" i="733"/>
  <c r="E403" i="733"/>
  <c r="E401" i="733"/>
  <c r="E399" i="733"/>
  <c r="E397" i="733"/>
  <c r="E395" i="733"/>
  <c r="E393" i="733"/>
  <c r="E391" i="733"/>
  <c r="E389" i="733"/>
  <c r="E387" i="733"/>
  <c r="E385" i="733"/>
  <c r="E383" i="733"/>
  <c r="E381" i="733"/>
  <c r="E379" i="733"/>
  <c r="E377" i="733"/>
  <c r="E375" i="733"/>
  <c r="E373" i="733"/>
  <c r="E371" i="733"/>
  <c r="E369" i="733"/>
  <c r="E367" i="733"/>
  <c r="E365" i="733"/>
  <c r="E363" i="733"/>
  <c r="E361" i="733"/>
  <c r="E359" i="733"/>
  <c r="E357" i="733"/>
  <c r="E355" i="733"/>
  <c r="E353" i="733"/>
  <c r="E351" i="733"/>
  <c r="E349" i="733"/>
  <c r="E347" i="733"/>
  <c r="E345" i="733"/>
  <c r="E343" i="733"/>
  <c r="E341" i="733"/>
  <c r="E339" i="733"/>
  <c r="E337" i="733"/>
  <c r="E335" i="733"/>
  <c r="E333" i="733"/>
  <c r="E331" i="733"/>
  <c r="E329" i="733"/>
  <c r="E327" i="733"/>
  <c r="E325" i="733"/>
  <c r="E323" i="733"/>
  <c r="E321" i="733"/>
  <c r="E319" i="733"/>
  <c r="E317" i="733"/>
  <c r="E315" i="733"/>
  <c r="E313" i="733"/>
  <c r="E311" i="733"/>
  <c r="E309" i="733"/>
  <c r="E307" i="733"/>
  <c r="E305" i="733"/>
  <c r="E303" i="733"/>
  <c r="E301" i="733"/>
  <c r="E299" i="733"/>
  <c r="E297" i="733"/>
  <c r="E295" i="733"/>
  <c r="E293" i="733"/>
  <c r="E291" i="733"/>
  <c r="E289" i="733"/>
  <c r="E287" i="733"/>
  <c r="E285" i="733"/>
  <c r="E283" i="733"/>
  <c r="E281" i="733"/>
  <c r="E279" i="733"/>
  <c r="E277" i="733"/>
  <c r="E275" i="733"/>
  <c r="E273" i="733"/>
  <c r="E271" i="733"/>
  <c r="E269" i="733"/>
  <c r="E267" i="733"/>
  <c r="E265" i="733"/>
  <c r="E263" i="733"/>
  <c r="E261" i="733"/>
  <c r="E259" i="733"/>
  <c r="E257" i="733"/>
  <c r="E255" i="733"/>
  <c r="E253" i="733"/>
  <c r="E251" i="733"/>
  <c r="E249" i="733"/>
  <c r="E247" i="733"/>
  <c r="E245" i="733"/>
  <c r="E243" i="733"/>
  <c r="E241" i="733"/>
  <c r="E239" i="733"/>
  <c r="E237" i="733"/>
  <c r="E235" i="733"/>
  <c r="E233" i="733"/>
  <c r="E231" i="733"/>
  <c r="E229" i="733"/>
  <c r="E227" i="733"/>
  <c r="E225" i="733"/>
  <c r="E223" i="733"/>
  <c r="E221" i="733"/>
  <c r="E219" i="733"/>
  <c r="E217" i="733"/>
  <c r="E215" i="733"/>
  <c r="E213" i="733"/>
  <c r="E211" i="733"/>
  <c r="E209" i="733"/>
  <c r="E207" i="733"/>
  <c r="E205" i="733"/>
  <c r="E203" i="733"/>
  <c r="E201" i="733"/>
  <c r="E199" i="733"/>
  <c r="E197" i="733"/>
  <c r="E195" i="733"/>
  <c r="E193" i="733"/>
  <c r="E191" i="733"/>
  <c r="E189" i="733"/>
  <c r="E187" i="733"/>
  <c r="E185" i="733"/>
  <c r="E183" i="733"/>
  <c r="E181" i="733"/>
  <c r="E179" i="733"/>
  <c r="E177" i="733"/>
  <c r="E175" i="733"/>
  <c r="E173" i="733"/>
  <c r="E171" i="733"/>
  <c r="E169" i="733"/>
  <c r="E167" i="733"/>
  <c r="E165" i="733"/>
  <c r="E163" i="733"/>
  <c r="E161" i="733"/>
  <c r="E159" i="733"/>
  <c r="E157" i="733"/>
  <c r="E155" i="733"/>
  <c r="E153" i="733"/>
  <c r="E151" i="733"/>
  <c r="E149" i="733"/>
  <c r="E147" i="733"/>
  <c r="E145" i="733"/>
  <c r="E143" i="733"/>
  <c r="E141" i="733"/>
  <c r="E139" i="733"/>
  <c r="E137" i="733"/>
  <c r="E135" i="733"/>
  <c r="E133" i="733"/>
  <c r="E131" i="733"/>
  <c r="E129" i="733"/>
  <c r="E127" i="733"/>
  <c r="E125" i="733"/>
  <c r="E123" i="733"/>
  <c r="E121" i="733"/>
  <c r="E119" i="733"/>
  <c r="E117" i="733"/>
  <c r="E115" i="733"/>
  <c r="E113" i="733"/>
  <c r="E111" i="733"/>
  <c r="E109" i="733"/>
  <c r="E107" i="733"/>
  <c r="E105" i="733"/>
  <c r="E103" i="733"/>
  <c r="E101" i="733"/>
  <c r="E99" i="733"/>
  <c r="E97" i="733"/>
  <c r="E95" i="733"/>
  <c r="E93" i="733"/>
  <c r="E91" i="733"/>
  <c r="E89" i="733"/>
  <c r="E87" i="733"/>
  <c r="E85" i="733"/>
  <c r="E83" i="733"/>
  <c r="E81" i="733"/>
  <c r="E79" i="733"/>
  <c r="E77" i="733"/>
  <c r="E75" i="733"/>
  <c r="E73" i="733"/>
  <c r="E71" i="733"/>
  <c r="E69" i="733"/>
  <c r="E67" i="733"/>
  <c r="E65" i="733"/>
  <c r="E63" i="733"/>
  <c r="E61" i="733"/>
  <c r="E59" i="733"/>
  <c r="E57" i="733"/>
  <c r="E55" i="733"/>
  <c r="E53" i="733"/>
  <c r="E51" i="733"/>
  <c r="E49" i="733"/>
  <c r="E47" i="733"/>
  <c r="E45" i="733"/>
  <c r="E43" i="733"/>
  <c r="E41" i="733"/>
  <c r="E39" i="733"/>
  <c r="E37" i="733"/>
  <c r="E35" i="733"/>
  <c r="E33" i="733"/>
  <c r="E31" i="733"/>
  <c r="E29" i="733"/>
  <c r="E27" i="733"/>
  <c r="E25" i="733"/>
  <c r="E23" i="733"/>
  <c r="E21" i="733"/>
  <c r="E19" i="733"/>
  <c r="E17" i="733"/>
  <c r="E15" i="733"/>
  <c r="E13" i="733"/>
  <c r="E11" i="733"/>
  <c r="E9" i="733"/>
  <c r="B8" i="733"/>
  <c r="E6" i="733"/>
  <c r="E4" i="733"/>
  <c r="R26" i="736"/>
  <c r="R22" i="736"/>
  <c r="R18" i="736"/>
  <c r="O17" i="736"/>
  <c r="N16" i="736"/>
  <c r="R14" i="736"/>
  <c r="O13" i="736"/>
  <c r="N12" i="736"/>
  <c r="R10" i="736"/>
  <c r="O9" i="736"/>
  <c r="N8" i="736"/>
  <c r="D6" i="684"/>
  <c r="D12" i="560"/>
  <c r="B16" i="570"/>
  <c r="B13" i="570"/>
  <c r="O24" i="564"/>
  <c r="H18" i="316"/>
  <c r="I18" i="562"/>
  <c r="D16" i="562"/>
  <c r="I9" i="562"/>
  <c r="I6" i="562"/>
  <c r="K12" i="689"/>
  <c r="G11" i="689"/>
  <c r="K8" i="682"/>
  <c r="F8" i="682"/>
  <c r="H7" i="682"/>
  <c r="K6" i="682"/>
  <c r="F6" i="682"/>
  <c r="H5" i="682"/>
  <c r="K4" i="682"/>
  <c r="F4" i="682"/>
  <c r="H3" i="682"/>
  <c r="G49" i="569"/>
  <c r="E48" i="569"/>
  <c r="I33" i="569"/>
  <c r="G32" i="569"/>
  <c r="E15" i="569"/>
  <c r="L19" i="568"/>
  <c r="L11" i="568"/>
  <c r="I26" i="567"/>
  <c r="I8" i="567"/>
  <c r="D29" i="566"/>
  <c r="K4" i="330" a="1"/>
  <c r="E19" i="328" a="1"/>
  <c r="L5" i="328" a="1"/>
  <c r="G3" i="328"/>
  <c r="J20" i="695"/>
  <c r="J16" i="695"/>
  <c r="J12" i="695"/>
  <c r="J8" i="695"/>
  <c r="S197" i="535"/>
  <c r="D151" i="535"/>
  <c r="D119" i="535"/>
  <c r="D87" i="535"/>
  <c r="C76" i="535"/>
  <c r="C68" i="535"/>
  <c r="C60" i="535"/>
  <c r="C52" i="535"/>
  <c r="C44" i="535"/>
  <c r="C36" i="535"/>
  <c r="S28" i="535"/>
  <c r="T21" i="535"/>
  <c r="T14" i="535"/>
  <c r="AF22" i="743"/>
  <c r="K23" i="748" a="1"/>
  <c r="N12" i="748"/>
  <c r="E47" i="30"/>
  <c r="B12" i="246"/>
  <c r="I13" i="538"/>
  <c r="M12" i="745"/>
  <c r="S61" i="26"/>
  <c r="M17" i="734"/>
  <c r="Q15" i="734" a="1"/>
  <c r="G15" i="720"/>
  <c r="E999" i="733"/>
  <c r="E991" i="733"/>
  <c r="E983" i="733"/>
  <c r="E975" i="733"/>
  <c r="E967" i="733"/>
  <c r="E959" i="733"/>
  <c r="E951" i="733"/>
  <c r="E943" i="733"/>
  <c r="E935" i="733"/>
  <c r="E927" i="733"/>
  <c r="E919" i="733"/>
  <c r="E911" i="733"/>
  <c r="E903" i="733"/>
  <c r="E895" i="733"/>
  <c r="E887" i="733"/>
  <c r="E879" i="733"/>
  <c r="E871" i="733"/>
  <c r="E863" i="733"/>
  <c r="E855" i="733"/>
  <c r="E847" i="733"/>
  <c r="E839" i="733"/>
  <c r="E831" i="733"/>
  <c r="E823" i="733"/>
  <c r="E815" i="733"/>
  <c r="E807" i="733"/>
  <c r="E799" i="733"/>
  <c r="E791" i="733"/>
  <c r="E783" i="733"/>
  <c r="E775" i="733"/>
  <c r="E767" i="733"/>
  <c r="E759" i="733"/>
  <c r="E751" i="733"/>
  <c r="E743" i="733"/>
  <c r="E735" i="733"/>
  <c r="E727" i="733"/>
  <c r="E719" i="733"/>
  <c r="E711" i="733"/>
  <c r="E703" i="733"/>
  <c r="E695" i="733"/>
  <c r="E687" i="733"/>
  <c r="E679" i="733"/>
  <c r="E671" i="733"/>
  <c r="E663" i="733"/>
  <c r="E655" i="733"/>
  <c r="E647" i="733"/>
  <c r="E639" i="733"/>
  <c r="E631" i="733"/>
  <c r="E623" i="733"/>
  <c r="E615" i="733"/>
  <c r="E607" i="733"/>
  <c r="E599" i="733"/>
  <c r="E591" i="733"/>
  <c r="F583" i="733"/>
  <c r="F579" i="733"/>
  <c r="F575" i="733"/>
  <c r="E573" i="733"/>
  <c r="F570" i="733"/>
  <c r="F567" i="733"/>
  <c r="E565" i="733"/>
  <c r="F562" i="733"/>
  <c r="F559" i="733"/>
  <c r="E557" i="733"/>
  <c r="F554" i="733"/>
  <c r="F551" i="733"/>
  <c r="E549" i="733"/>
  <c r="F546" i="733"/>
  <c r="F543" i="733"/>
  <c r="E541" i="733"/>
  <c r="F538" i="733"/>
  <c r="F535" i="733"/>
  <c r="E533" i="733"/>
  <c r="F530" i="733"/>
  <c r="F527" i="733"/>
  <c r="E525" i="733"/>
  <c r="F522" i="733"/>
  <c r="F519" i="733"/>
  <c r="E517" i="733"/>
  <c r="F514" i="733"/>
  <c r="F511" i="733"/>
  <c r="E509" i="733"/>
  <c r="F506" i="733"/>
  <c r="F503" i="733"/>
  <c r="E501" i="733"/>
  <c r="F498" i="733"/>
  <c r="F495" i="733"/>
  <c r="E493" i="733"/>
  <c r="F490" i="733"/>
  <c r="F487" i="733"/>
  <c r="E485" i="733"/>
  <c r="F482" i="733"/>
  <c r="F480" i="733"/>
  <c r="F478" i="733"/>
  <c r="F476" i="733"/>
  <c r="F474" i="733"/>
  <c r="F472" i="733"/>
  <c r="F470" i="733"/>
  <c r="F468" i="733"/>
  <c r="F466" i="733"/>
  <c r="F464" i="733"/>
  <c r="F462" i="733"/>
  <c r="F460" i="733"/>
  <c r="F458" i="733"/>
  <c r="F456" i="733"/>
  <c r="F454" i="733"/>
  <c r="F452" i="733"/>
  <c r="F450" i="733"/>
  <c r="F448" i="733"/>
  <c r="F446" i="733"/>
  <c r="F444" i="733"/>
  <c r="F442" i="733"/>
  <c r="F440" i="733"/>
  <c r="F438" i="733"/>
  <c r="F436" i="733"/>
  <c r="F434" i="733"/>
  <c r="F432" i="733"/>
  <c r="F430" i="733"/>
  <c r="F428" i="733"/>
  <c r="F426" i="733"/>
  <c r="F424" i="733"/>
  <c r="F422" i="733"/>
  <c r="F420" i="733"/>
  <c r="F418" i="733"/>
  <c r="F416" i="733"/>
  <c r="F414" i="733"/>
  <c r="F412" i="733"/>
  <c r="F410" i="733"/>
  <c r="F408" i="733"/>
  <c r="F406" i="733"/>
  <c r="F404" i="733"/>
  <c r="F402" i="733"/>
  <c r="F400" i="733"/>
  <c r="F398" i="733"/>
  <c r="F396" i="733"/>
  <c r="F394" i="733"/>
  <c r="F392" i="733"/>
  <c r="F390" i="733"/>
  <c r="F388" i="733"/>
  <c r="F386" i="733"/>
  <c r="F384" i="733"/>
  <c r="F382" i="733"/>
  <c r="F380" i="733"/>
  <c r="F378" i="733"/>
  <c r="F376" i="733"/>
  <c r="F374" i="733"/>
  <c r="F372" i="733"/>
  <c r="F370" i="733"/>
  <c r="F368" i="733"/>
  <c r="F366" i="733"/>
  <c r="F364" i="733"/>
  <c r="F362" i="733"/>
  <c r="F360" i="733"/>
  <c r="F358" i="733"/>
  <c r="F356" i="733"/>
  <c r="F354" i="733"/>
  <c r="F352" i="733"/>
  <c r="F350" i="733"/>
  <c r="F348" i="733"/>
  <c r="F346" i="733"/>
  <c r="F344" i="733"/>
  <c r="F342" i="733"/>
  <c r="F340" i="733"/>
  <c r="F338" i="733"/>
  <c r="F336" i="733"/>
  <c r="F334" i="733"/>
  <c r="F332" i="733"/>
  <c r="F330" i="733"/>
  <c r="F328" i="733"/>
  <c r="F326" i="733"/>
  <c r="F324" i="733"/>
  <c r="F322" i="733"/>
  <c r="F320" i="733"/>
  <c r="F318" i="733"/>
  <c r="F316" i="733"/>
  <c r="F314" i="733"/>
  <c r="F312" i="733"/>
  <c r="F310" i="733"/>
  <c r="F308" i="733"/>
  <c r="F306" i="733"/>
  <c r="F304" i="733"/>
  <c r="F302" i="733"/>
  <c r="F300" i="733"/>
  <c r="F298" i="733"/>
  <c r="F296" i="733"/>
  <c r="F294" i="733"/>
  <c r="F292" i="733"/>
  <c r="F290" i="733"/>
  <c r="F288" i="733"/>
  <c r="F286" i="733"/>
  <c r="F284" i="733"/>
  <c r="F282" i="733"/>
  <c r="F280" i="733"/>
  <c r="F278" i="733"/>
  <c r="F276" i="733"/>
  <c r="F274" i="733"/>
  <c r="F272" i="733"/>
  <c r="F270" i="733"/>
  <c r="F268" i="733"/>
  <c r="F266" i="733"/>
  <c r="F264" i="733"/>
  <c r="F262" i="733"/>
  <c r="F260" i="733"/>
  <c r="F258" i="733"/>
  <c r="F256" i="733"/>
  <c r="F254" i="733"/>
  <c r="F252" i="733"/>
  <c r="F250" i="733"/>
  <c r="F248" i="733"/>
  <c r="F246" i="733"/>
  <c r="F244" i="733"/>
  <c r="F242" i="733"/>
  <c r="F240" i="733"/>
  <c r="F238" i="733"/>
  <c r="F236" i="733"/>
  <c r="F234" i="733"/>
  <c r="F232" i="733"/>
  <c r="F230" i="733"/>
  <c r="F228" i="733"/>
  <c r="F226" i="733"/>
  <c r="F224" i="733"/>
  <c r="F222" i="733"/>
  <c r="F220" i="733"/>
  <c r="F218" i="733"/>
  <c r="F216" i="733"/>
  <c r="F214" i="733"/>
  <c r="F212" i="733"/>
  <c r="F210" i="733"/>
  <c r="F208" i="733"/>
  <c r="F206" i="733"/>
  <c r="F204" i="733"/>
  <c r="F202" i="733"/>
  <c r="F200" i="733"/>
  <c r="F198" i="733"/>
  <c r="F196" i="733"/>
  <c r="F194" i="733"/>
  <c r="F192" i="733"/>
  <c r="F190" i="733"/>
  <c r="F188" i="733"/>
  <c r="F186" i="733"/>
  <c r="F184" i="733"/>
  <c r="F182" i="733"/>
  <c r="F180" i="733"/>
  <c r="F178" i="733"/>
  <c r="F176" i="733"/>
  <c r="F174" i="733"/>
  <c r="F172" i="733"/>
  <c r="F170" i="733"/>
  <c r="F168" i="733"/>
  <c r="F166" i="733"/>
  <c r="F164" i="733"/>
  <c r="F162" i="733"/>
  <c r="F160" i="733"/>
  <c r="F158" i="733"/>
  <c r="F156" i="733"/>
  <c r="F154" i="733"/>
  <c r="F152" i="733"/>
  <c r="F150" i="733"/>
  <c r="F148" i="733"/>
  <c r="F146" i="733"/>
  <c r="F144" i="733"/>
  <c r="F142" i="733"/>
  <c r="F140" i="733"/>
  <c r="F138" i="733"/>
  <c r="F136" i="733"/>
  <c r="F134" i="733"/>
  <c r="F132" i="733"/>
  <c r="F130" i="733"/>
  <c r="F128" i="733"/>
  <c r="F126" i="733"/>
  <c r="F124" i="733"/>
  <c r="F122" i="733"/>
  <c r="F120" i="733"/>
  <c r="F118" i="733"/>
  <c r="F116" i="733"/>
  <c r="F114" i="733"/>
  <c r="F112" i="733"/>
  <c r="F110" i="733"/>
  <c r="F108" i="733"/>
  <c r="F106" i="733"/>
  <c r="F104" i="733"/>
  <c r="F102" i="733"/>
  <c r="F100" i="733"/>
  <c r="F98" i="733"/>
  <c r="F96" i="733"/>
  <c r="F94" i="733"/>
  <c r="F92" i="733"/>
  <c r="F90" i="733"/>
  <c r="F88" i="733"/>
  <c r="F86" i="733"/>
  <c r="F84" i="733"/>
  <c r="F82" i="733"/>
  <c r="F80" i="733"/>
  <c r="F78" i="733"/>
  <c r="F76" i="733"/>
  <c r="F74" i="733"/>
  <c r="F72" i="733"/>
  <c r="F70" i="733"/>
  <c r="F68" i="733"/>
  <c r="F66" i="733"/>
  <c r="F64" i="733"/>
  <c r="F62" i="733"/>
  <c r="F60" i="733"/>
  <c r="F58" i="733"/>
  <c r="F56" i="733"/>
  <c r="F54" i="733"/>
  <c r="F52" i="733"/>
  <c r="F50" i="733"/>
  <c r="F48" i="733"/>
  <c r="F46" i="733"/>
  <c r="F44" i="733"/>
  <c r="F42" i="733"/>
  <c r="F40" i="733"/>
  <c r="F38" i="733"/>
  <c r="F36" i="733"/>
  <c r="F34" i="733"/>
  <c r="F32" i="733"/>
  <c r="F30" i="733"/>
  <c r="F28" i="733"/>
  <c r="F26" i="733"/>
  <c r="F24" i="733"/>
  <c r="F22" i="733"/>
  <c r="F20" i="733"/>
  <c r="F18" i="733"/>
  <c r="F16" i="733"/>
  <c r="F14" i="733"/>
  <c r="F12" i="733"/>
  <c r="F10" i="733"/>
  <c r="B9" i="733"/>
  <c r="F7" i="733"/>
  <c r="F5" i="733"/>
  <c r="F3" i="733"/>
  <c r="R25" i="736"/>
  <c r="R21" i="736"/>
  <c r="O18" i="736"/>
  <c r="N17" i="736"/>
  <c r="R15" i="736"/>
  <c r="O14" i="736"/>
  <c r="N13" i="736"/>
  <c r="R11" i="736"/>
  <c r="O10" i="736"/>
  <c r="N9" i="736"/>
  <c r="R7" i="736"/>
  <c r="D5" i="684"/>
  <c r="D8" i="560"/>
  <c r="D14" i="570"/>
  <c r="E25" i="565"/>
  <c r="G8" i="318"/>
  <c r="O9" i="563"/>
  <c r="I17" i="562"/>
  <c r="I15" i="562"/>
  <c r="I8" i="562"/>
  <c r="D6" i="562"/>
  <c r="G12" i="689"/>
  <c r="C11" i="689"/>
  <c r="J8" i="682"/>
  <c r="L7" i="682"/>
  <c r="G7" i="682"/>
  <c r="J6" i="682"/>
  <c r="L5" i="682"/>
  <c r="G5" i="682"/>
  <c r="J4" i="682"/>
  <c r="L3" i="682"/>
  <c r="G3" i="682"/>
  <c r="E49" i="569"/>
  <c r="E47" i="569"/>
  <c r="G33" i="569"/>
  <c r="E32" i="569"/>
  <c r="E14" i="569"/>
  <c r="J19" i="568"/>
  <c r="L10" i="568"/>
  <c r="D26" i="567"/>
  <c r="K38" i="566"/>
  <c r="K20" i="566"/>
  <c r="I4" i="330" a="1"/>
  <c r="G5" i="328" a="1"/>
  <c r="J23" i="695"/>
  <c r="J19" i="695"/>
  <c r="J15" i="695"/>
  <c r="J11" i="695"/>
  <c r="J7" i="695"/>
  <c r="D175" i="535"/>
  <c r="C74" i="535"/>
  <c r="C42" i="535"/>
  <c r="B13" i="535"/>
  <c r="E5" i="742" a="1"/>
  <c r="I11" i="538"/>
  <c r="J11" i="745"/>
  <c r="E989" i="733"/>
  <c r="E957" i="733"/>
  <c r="E925" i="733"/>
  <c r="E893" i="733"/>
  <c r="E861" i="733"/>
  <c r="E829" i="733"/>
  <c r="E797" i="733"/>
  <c r="E765" i="733"/>
  <c r="E733" i="733"/>
  <c r="E701" i="733"/>
  <c r="E669" i="733"/>
  <c r="E637" i="733"/>
  <c r="E605" i="733"/>
  <c r="E579" i="733"/>
  <c r="E567" i="733"/>
  <c r="F556" i="733"/>
  <c r="F545" i="733"/>
  <c r="E535" i="733"/>
  <c r="F524" i="733"/>
  <c r="F513" i="733"/>
  <c r="E503" i="733"/>
  <c r="F492" i="733"/>
  <c r="E482" i="733"/>
  <c r="E474" i="733"/>
  <c r="E466" i="733"/>
  <c r="E458" i="733"/>
  <c r="E450" i="733"/>
  <c r="E442" i="733"/>
  <c r="E434" i="733"/>
  <c r="E426" i="733"/>
  <c r="E418" i="733"/>
  <c r="E410" i="733"/>
  <c r="E402" i="733"/>
  <c r="E394" i="733"/>
  <c r="E386" i="733"/>
  <c r="E378" i="733"/>
  <c r="E370" i="733"/>
  <c r="E362" i="733"/>
  <c r="E354" i="733"/>
  <c r="E346" i="733"/>
  <c r="E338" i="733"/>
  <c r="E330" i="733"/>
  <c r="E322" i="733"/>
  <c r="E314" i="733"/>
  <c r="E306" i="733"/>
  <c r="E298" i="733"/>
  <c r="E290" i="733"/>
  <c r="E282" i="733"/>
  <c r="E274" i="733"/>
  <c r="E266" i="733"/>
  <c r="E258" i="733"/>
  <c r="E250" i="733"/>
  <c r="E242" i="733"/>
  <c r="E234" i="733"/>
  <c r="E226" i="733"/>
  <c r="E218" i="733"/>
  <c r="E210" i="733"/>
  <c r="E202" i="733"/>
  <c r="E194" i="733"/>
  <c r="E186" i="733"/>
  <c r="E178" i="733"/>
  <c r="E170" i="733"/>
  <c r="E162" i="733"/>
  <c r="E154" i="733"/>
  <c r="E146" i="733"/>
  <c r="E138" i="733"/>
  <c r="E130" i="733"/>
  <c r="E122" i="733"/>
  <c r="E114" i="733"/>
  <c r="E106" i="733"/>
  <c r="E98" i="733"/>
  <c r="E90" i="733"/>
  <c r="E82" i="733"/>
  <c r="E74" i="733"/>
  <c r="E66" i="733"/>
  <c r="E58" i="733"/>
  <c r="E50" i="733"/>
  <c r="E42" i="733"/>
  <c r="E34" i="733"/>
  <c r="E26" i="733"/>
  <c r="E18" i="733"/>
  <c r="E10" i="733"/>
  <c r="E3" i="733"/>
  <c r="R16" i="736"/>
  <c r="O11" i="736"/>
  <c r="D4" i="684"/>
  <c r="B22" i="316"/>
  <c r="I7" i="562"/>
  <c r="H8" i="682"/>
  <c r="K5" i="682"/>
  <c r="F3" i="682"/>
  <c r="E31" i="569"/>
  <c r="D17" i="567"/>
  <c r="J17" i="695"/>
  <c r="J9" i="695"/>
  <c r="J4" i="695"/>
  <c r="K29" i="325"/>
  <c r="K25" i="325"/>
  <c r="K12" i="325"/>
  <c r="T15" i="320"/>
  <c r="T14" i="320"/>
  <c r="O13" i="320"/>
  <c r="K10" i="320"/>
  <c r="K9" i="320"/>
  <c r="K7" i="320"/>
  <c r="K3" i="320"/>
  <c r="E26" i="553"/>
  <c r="B16" i="744"/>
  <c r="D12" i="744"/>
  <c r="D7" i="744"/>
  <c r="U22" i="368"/>
  <c r="O21" i="368"/>
  <c r="O18" i="368"/>
  <c r="O14" i="368"/>
  <c r="O10" i="368"/>
  <c r="O7" i="368"/>
  <c r="M14" i="13"/>
  <c r="K23" i="12"/>
  <c r="K22" i="12"/>
  <c r="L22" i="11"/>
  <c r="I13" i="712" a="1"/>
  <c r="F12" i="712"/>
  <c r="I9" i="712" a="1"/>
  <c r="F8" i="712"/>
  <c r="I5" i="712" a="1"/>
  <c r="F23" i="484"/>
  <c r="F21" i="484"/>
  <c r="F19" i="484"/>
  <c r="F17" i="484"/>
  <c r="F13" i="484"/>
  <c r="F11" i="484"/>
  <c r="G12" i="485"/>
  <c r="E9" i="485"/>
  <c r="G3" i="485"/>
  <c r="E14" i="483"/>
  <c r="J13" i="483" a="1"/>
  <c r="L15" i="482" a="1"/>
  <c r="L14" i="482" a="1"/>
  <c r="L13" i="482" a="1"/>
  <c r="D11" i="639"/>
  <c r="B8" i="639"/>
  <c r="B5" i="639"/>
  <c r="B3" i="639"/>
  <c r="F17" i="457" a="1"/>
  <c r="Y3" i="457" a="1"/>
  <c r="M19" i="555" a="1"/>
  <c r="U5" i="555" a="1"/>
  <c r="M5" i="555" a="1"/>
  <c r="G3" i="686" a="1"/>
  <c r="U19" i="535"/>
  <c r="E805" i="733"/>
  <c r="E645" i="733"/>
  <c r="F548" i="733"/>
  <c r="F516" i="733"/>
  <c r="F484" i="733"/>
  <c r="E444" i="733"/>
  <c r="E420" i="733"/>
  <c r="E396" i="733"/>
  <c r="E372" i="733"/>
  <c r="E332" i="733"/>
  <c r="E308" i="733"/>
  <c r="E284" i="733"/>
  <c r="E260" i="733"/>
  <c r="E236" i="733"/>
  <c r="E212" i="733"/>
  <c r="E188" i="733"/>
  <c r="E164" i="733"/>
  <c r="E132" i="733"/>
  <c r="E108" i="733"/>
  <c r="E84" i="733"/>
  <c r="E60" i="733"/>
  <c r="E36" i="733"/>
  <c r="E12" i="733"/>
  <c r="R12" i="736"/>
  <c r="E33" i="569"/>
  <c r="O4" i="695" a="1"/>
  <c r="K13" i="325"/>
  <c r="T13" i="320"/>
  <c r="T7" i="320"/>
  <c r="D13" i="744"/>
  <c r="O19" i="368"/>
  <c r="O11" i="368"/>
  <c r="N22" i="12"/>
  <c r="I12" i="712" a="1"/>
  <c r="G17" i="484"/>
  <c r="G4" i="485"/>
  <c r="J15" i="483" a="1"/>
  <c r="D5" i="639"/>
  <c r="D143" i="535"/>
  <c r="C66" i="535"/>
  <c r="C34" i="535"/>
  <c r="Y15" i="743"/>
  <c r="J15" i="746"/>
  <c r="L30" i="745" a="1"/>
  <c r="K35" i="722"/>
  <c r="F11" i="724"/>
  <c r="J9" i="716"/>
  <c r="E981" i="733"/>
  <c r="E949" i="733"/>
  <c r="E917" i="733"/>
  <c r="E885" i="733"/>
  <c r="E853" i="733"/>
  <c r="E821" i="733"/>
  <c r="E789" i="733"/>
  <c r="E757" i="733"/>
  <c r="E725" i="733"/>
  <c r="E693" i="733"/>
  <c r="E661" i="733"/>
  <c r="E629" i="733"/>
  <c r="E597" i="733"/>
  <c r="E575" i="733"/>
  <c r="F564" i="733"/>
  <c r="F553" i="733"/>
  <c r="E543" i="733"/>
  <c r="F532" i="733"/>
  <c r="F521" i="733"/>
  <c r="E511" i="733"/>
  <c r="F500" i="733"/>
  <c r="F489" i="733"/>
  <c r="E480" i="733"/>
  <c r="E472" i="733"/>
  <c r="E464" i="733"/>
  <c r="E456" i="733"/>
  <c r="E448" i="733"/>
  <c r="E440" i="733"/>
  <c r="E432" i="733"/>
  <c r="E424" i="733"/>
  <c r="E416" i="733"/>
  <c r="E408" i="733"/>
  <c r="E400" i="733"/>
  <c r="E392" i="733"/>
  <c r="E384" i="733"/>
  <c r="E376" i="733"/>
  <c r="E368" i="733"/>
  <c r="E360" i="733"/>
  <c r="E352" i="733"/>
  <c r="E344" i="733"/>
  <c r="E336" i="733"/>
  <c r="E328" i="733"/>
  <c r="E320" i="733"/>
  <c r="E312" i="733"/>
  <c r="E304" i="733"/>
  <c r="E296" i="733"/>
  <c r="E288" i="733"/>
  <c r="E280" i="733"/>
  <c r="E272" i="733"/>
  <c r="E264" i="733"/>
  <c r="E256" i="733"/>
  <c r="E248" i="733"/>
  <c r="E240" i="733"/>
  <c r="E232" i="733"/>
  <c r="E224" i="733"/>
  <c r="E216" i="733"/>
  <c r="E208" i="733"/>
  <c r="E200" i="733"/>
  <c r="E192" i="733"/>
  <c r="E184" i="733"/>
  <c r="E176" i="733"/>
  <c r="E168" i="733"/>
  <c r="E160" i="733"/>
  <c r="E152" i="733"/>
  <c r="E144" i="733"/>
  <c r="E136" i="733"/>
  <c r="E128" i="733"/>
  <c r="E120" i="733"/>
  <c r="E112" i="733"/>
  <c r="E104" i="733"/>
  <c r="E96" i="733"/>
  <c r="E88" i="733"/>
  <c r="E80" i="733"/>
  <c r="E72" i="733"/>
  <c r="E64" i="733"/>
  <c r="E56" i="733"/>
  <c r="E48" i="733"/>
  <c r="E40" i="733"/>
  <c r="E32" i="733"/>
  <c r="E24" i="733"/>
  <c r="E16" i="733"/>
  <c r="F8" i="733"/>
  <c r="R24" i="736"/>
  <c r="O15" i="736"/>
  <c r="N10" i="736"/>
  <c r="D5" i="561"/>
  <c r="D22" i="562"/>
  <c r="I5" i="562"/>
  <c r="K7" i="682"/>
  <c r="F5" i="682"/>
  <c r="I48" i="569"/>
  <c r="E11" i="569"/>
  <c r="I38" i="566"/>
  <c r="R3" i="328" a="1"/>
  <c r="J14" i="695"/>
  <c r="J6" i="695"/>
  <c r="K28" i="325"/>
  <c r="K24" i="325"/>
  <c r="K11" i="325"/>
  <c r="O15" i="320"/>
  <c r="M14" i="320"/>
  <c r="M13" i="320"/>
  <c r="T9" i="320"/>
  <c r="T8" i="320"/>
  <c r="T5" i="320"/>
  <c r="U7" i="640"/>
  <c r="E4" i="553" a="1"/>
  <c r="D15" i="744"/>
  <c r="D10" i="744"/>
  <c r="D6" i="744"/>
  <c r="O22" i="368"/>
  <c r="M21" i="368"/>
  <c r="O17" i="368"/>
  <c r="O13" i="368"/>
  <c r="O9" i="368"/>
  <c r="M7" i="368"/>
  <c r="M11" i="13"/>
  <c r="J23" i="12"/>
  <c r="J22" i="12"/>
  <c r="L21" i="11"/>
  <c r="F13" i="712"/>
  <c r="I10" i="712" a="1"/>
  <c r="F9" i="712"/>
  <c r="I6" i="712" a="1"/>
  <c r="F5" i="712"/>
  <c r="H4" i="712" a="1"/>
  <c r="G22" i="484"/>
  <c r="G20" i="484"/>
  <c r="G18" i="484"/>
  <c r="G14" i="484"/>
  <c r="G12" i="484"/>
  <c r="G10" i="484"/>
  <c r="E12" i="485"/>
  <c r="G8" i="485"/>
  <c r="F23" i="483"/>
  <c r="D9" i="639"/>
  <c r="D7" i="639"/>
  <c r="D4" i="639"/>
  <c r="J3" i="464" a="1"/>
  <c r="O5" i="457" a="1"/>
  <c r="E5" i="556" a="1"/>
  <c r="H19" i="555"/>
  <c r="K5" i="555" a="1"/>
  <c r="C50" i="535"/>
  <c r="I14" i="747"/>
  <c r="E965" i="733"/>
  <c r="E901" i="733"/>
  <c r="E837" i="733"/>
  <c r="E741" i="733"/>
  <c r="E677" i="733"/>
  <c r="E613" i="733"/>
  <c r="F569" i="733"/>
  <c r="E527" i="733"/>
  <c r="F505" i="733"/>
  <c r="E468" i="733"/>
  <c r="E452" i="733"/>
  <c r="E428" i="733"/>
  <c r="E412" i="733"/>
  <c r="E388" i="733"/>
  <c r="E364" i="733"/>
  <c r="E348" i="733"/>
  <c r="E324" i="733"/>
  <c r="E300" i="733"/>
  <c r="E268" i="733"/>
  <c r="E244" i="733"/>
  <c r="E220" i="733"/>
  <c r="E196" i="733"/>
  <c r="E180" i="733"/>
  <c r="E156" i="733"/>
  <c r="E140" i="733"/>
  <c r="E116" i="733"/>
  <c r="E92" i="733"/>
  <c r="E68" i="733"/>
  <c r="E44" i="733"/>
  <c r="E20" i="733"/>
  <c r="N18" i="736"/>
  <c r="C25" i="565"/>
  <c r="H6" i="682"/>
  <c r="L9" i="568"/>
  <c r="J18" i="695"/>
  <c r="Q3" i="333" a="1"/>
  <c r="K9" i="325"/>
  <c r="T10" i="320"/>
  <c r="C12" i="702"/>
  <c r="D8" i="744"/>
  <c r="U21" i="368"/>
  <c r="U7" i="368"/>
  <c r="N23" i="12"/>
  <c r="F11" i="712"/>
  <c r="F7" i="712"/>
  <c r="G23" i="484"/>
  <c r="G21" i="484"/>
  <c r="G19" i="484"/>
  <c r="G11" i="484"/>
  <c r="G9" i="485"/>
  <c r="J16" i="483" a="1"/>
  <c r="D8" i="639"/>
  <c r="D3" i="639"/>
  <c r="F26" i="457"/>
  <c r="D111" i="535"/>
  <c r="C58" i="535"/>
  <c r="U26" i="535"/>
  <c r="N9" i="748"/>
  <c r="N52" i="29"/>
  <c r="E973" i="733"/>
  <c r="E941" i="733"/>
  <c r="E909" i="733"/>
  <c r="E877" i="733"/>
  <c r="E845" i="733"/>
  <c r="E813" i="733"/>
  <c r="E781" i="733"/>
  <c r="E749" i="733"/>
  <c r="E717" i="733"/>
  <c r="E685" i="733"/>
  <c r="E653" i="733"/>
  <c r="E621" i="733"/>
  <c r="E589" i="733"/>
  <c r="F572" i="733"/>
  <c r="F561" i="733"/>
  <c r="E551" i="733"/>
  <c r="F540" i="733"/>
  <c r="F529" i="733"/>
  <c r="E519" i="733"/>
  <c r="F508" i="733"/>
  <c r="F497" i="733"/>
  <c r="E487" i="733"/>
  <c r="E478" i="733"/>
  <c r="E470" i="733"/>
  <c r="E462" i="733"/>
  <c r="E454" i="733"/>
  <c r="E446" i="733"/>
  <c r="E438" i="733"/>
  <c r="E430" i="733"/>
  <c r="E422" i="733"/>
  <c r="E414" i="733"/>
  <c r="E406" i="733"/>
  <c r="E398" i="733"/>
  <c r="E390" i="733"/>
  <c r="E382" i="733"/>
  <c r="E374" i="733"/>
  <c r="E366" i="733"/>
  <c r="E358" i="733"/>
  <c r="E350" i="733"/>
  <c r="E342" i="733"/>
  <c r="E334" i="733"/>
  <c r="E326" i="733"/>
  <c r="E318" i="733"/>
  <c r="E310" i="733"/>
  <c r="E302" i="733"/>
  <c r="E294" i="733"/>
  <c r="E286" i="733"/>
  <c r="E278" i="733"/>
  <c r="E270" i="733"/>
  <c r="E262" i="733"/>
  <c r="E254" i="733"/>
  <c r="E246" i="733"/>
  <c r="E238" i="733"/>
  <c r="E230" i="733"/>
  <c r="E222" i="733"/>
  <c r="E214" i="733"/>
  <c r="E206" i="733"/>
  <c r="E198" i="733"/>
  <c r="E190" i="733"/>
  <c r="E182" i="733"/>
  <c r="E174" i="733"/>
  <c r="E166" i="733"/>
  <c r="E158" i="733"/>
  <c r="E150" i="733"/>
  <c r="E142" i="733"/>
  <c r="E134" i="733"/>
  <c r="E126" i="733"/>
  <c r="E118" i="733"/>
  <c r="E110" i="733"/>
  <c r="E102" i="733"/>
  <c r="E94" i="733"/>
  <c r="E86" i="733"/>
  <c r="E78" i="733"/>
  <c r="E70" i="733"/>
  <c r="E62" i="733"/>
  <c r="E54" i="733"/>
  <c r="E46" i="733"/>
  <c r="E38" i="733"/>
  <c r="E30" i="733"/>
  <c r="E22" i="733"/>
  <c r="E14" i="733"/>
  <c r="E7" i="733"/>
  <c r="R20" i="736"/>
  <c r="N14" i="736"/>
  <c r="R8" i="736"/>
  <c r="B14" i="570"/>
  <c r="D17" i="562"/>
  <c r="C12" i="689"/>
  <c r="F7" i="682"/>
  <c r="H4" i="682"/>
  <c r="E45" i="569"/>
  <c r="L18" i="568"/>
  <c r="I20" i="566"/>
  <c r="J22" i="695"/>
  <c r="J13" i="695"/>
  <c r="J5" i="695"/>
  <c r="K27" i="325"/>
  <c r="K14" i="325"/>
  <c r="K10" i="325"/>
  <c r="M15" i="320"/>
  <c r="K14" i="320"/>
  <c r="K13" i="320"/>
  <c r="O9" i="320"/>
  <c r="K8" i="320"/>
  <c r="K5" i="320"/>
  <c r="F7" i="640"/>
  <c r="C4" i="553" a="1"/>
  <c r="B15" i="744"/>
  <c r="D9" i="744"/>
  <c r="M25" i="15" a="1"/>
  <c r="M22" i="368"/>
  <c r="O20" i="368"/>
  <c r="O16" i="368"/>
  <c r="O12" i="368"/>
  <c r="O8" i="368"/>
  <c r="O6" i="368"/>
  <c r="W5" i="368" a="1"/>
  <c r="O23" i="12"/>
  <c r="O22" i="12"/>
  <c r="P22" i="11"/>
  <c r="F15" i="712"/>
  <c r="I11" i="712" a="1"/>
  <c r="F10" i="712"/>
  <c r="I7" i="712" a="1"/>
  <c r="F6" i="712"/>
  <c r="I4" i="712"/>
  <c r="F4" i="712"/>
  <c r="F22" i="484"/>
  <c r="F20" i="484"/>
  <c r="F18" i="484"/>
  <c r="F14" i="484"/>
  <c r="F12" i="484"/>
  <c r="F10" i="484"/>
  <c r="G10" i="485"/>
  <c r="G6" i="485"/>
  <c r="E23" i="483"/>
  <c r="Q6" i="7" a="1"/>
  <c r="M4" i="7" a="1"/>
  <c r="B9" i="639"/>
  <c r="B7" i="639"/>
  <c r="B4" i="639"/>
  <c r="F3" i="464" a="1"/>
  <c r="J5" i="457" a="1"/>
  <c r="F5" i="457" a="1"/>
  <c r="H20" i="555"/>
  <c r="G5" i="555" a="1"/>
  <c r="C82" i="535"/>
  <c r="I23" i="538"/>
  <c r="E997" i="733"/>
  <c r="E933" i="733"/>
  <c r="E869" i="733"/>
  <c r="E773" i="733"/>
  <c r="E709" i="733"/>
  <c r="E583" i="733"/>
  <c r="E559" i="733"/>
  <c r="F537" i="733"/>
  <c r="E495" i="733"/>
  <c r="E476" i="733"/>
  <c r="E460" i="733"/>
  <c r="E436" i="733"/>
  <c r="E404" i="733"/>
  <c r="E380" i="733"/>
  <c r="E356" i="733"/>
  <c r="E340" i="733"/>
  <c r="E316" i="733"/>
  <c r="E292" i="733"/>
  <c r="E276" i="733"/>
  <c r="E252" i="733"/>
  <c r="E228" i="733"/>
  <c r="E204" i="733"/>
  <c r="E172" i="733"/>
  <c r="E148" i="733"/>
  <c r="E124" i="733"/>
  <c r="E100" i="733"/>
  <c r="E76" i="733"/>
  <c r="E52" i="733"/>
  <c r="E28" i="733"/>
  <c r="E5" i="733"/>
  <c r="O7" i="736"/>
  <c r="I14" i="562"/>
  <c r="K13" i="682"/>
  <c r="K3" i="682"/>
  <c r="J10" i="695"/>
  <c r="K26" i="325"/>
  <c r="K15" i="320"/>
  <c r="M9" i="320"/>
  <c r="T3" i="320"/>
  <c r="D16" i="744"/>
  <c r="M4" i="15" a="1"/>
  <c r="O15" i="368"/>
  <c r="O5" i="368"/>
  <c r="O22" i="11"/>
  <c r="I8" i="712" a="1"/>
  <c r="G13" i="484"/>
  <c r="G13" i="485"/>
  <c r="E18" i="483"/>
  <c r="J14" i="483" a="1"/>
  <c r="G3" i="7" a="1"/>
  <c r="AD3" i="457" a="1"/>
  <c r="S5" i="555" a="1"/>
  <c r="E5" i="555" a="1"/>
  <c r="M24" i="415"/>
  <c r="Q3" i="415" a="1"/>
  <c r="I3" i="415" a="1"/>
  <c r="E15" i="555" l="1"/>
  <c r="E11" i="555"/>
  <c r="E7" i="555"/>
  <c r="E14" i="555"/>
  <c r="E10" i="555"/>
  <c r="E6" i="555"/>
  <c r="E13" i="555"/>
  <c r="E9" i="555"/>
  <c r="E5" i="555"/>
  <c r="E16" i="555"/>
  <c r="E12" i="555"/>
  <c r="E8" i="555"/>
  <c r="S7" i="555"/>
  <c r="S10" i="555"/>
  <c r="S6" i="555"/>
  <c r="S9" i="555"/>
  <c r="S5" i="555"/>
  <c r="S8" i="555"/>
  <c r="AF14" i="457"/>
  <c r="AF13" i="457"/>
  <c r="AF12" i="457"/>
  <c r="AF11" i="457"/>
  <c r="AF10" i="457"/>
  <c r="AF9" i="457"/>
  <c r="AF8" i="457"/>
  <c r="AF7" i="457"/>
  <c r="AF6" i="457"/>
  <c r="AF5" i="457"/>
  <c r="AF4" i="457"/>
  <c r="AF3" i="457"/>
  <c r="AE14" i="457"/>
  <c r="AE13" i="457"/>
  <c r="AE12" i="457"/>
  <c r="AE11" i="457"/>
  <c r="AE10" i="457"/>
  <c r="AE9" i="457"/>
  <c r="AE8" i="457"/>
  <c r="AE7" i="457"/>
  <c r="AE6" i="457"/>
  <c r="AE5" i="457"/>
  <c r="AE4" i="457"/>
  <c r="AE3" i="457"/>
  <c r="AD14" i="457"/>
  <c r="AD13" i="457"/>
  <c r="AD12" i="457"/>
  <c r="AD11" i="457"/>
  <c r="AD10" i="457"/>
  <c r="AD9" i="457"/>
  <c r="AD8" i="457"/>
  <c r="AD7" i="457"/>
  <c r="AD6" i="457"/>
  <c r="AD5" i="457"/>
  <c r="AD4" i="457"/>
  <c r="AD3" i="457"/>
  <c r="AG13" i="457"/>
  <c r="AG9" i="457"/>
  <c r="AG5" i="457"/>
  <c r="AG6" i="457"/>
  <c r="AG12" i="457"/>
  <c r="AG8" i="457"/>
  <c r="AG4" i="457"/>
  <c r="AG14" i="457"/>
  <c r="AG11" i="457"/>
  <c r="AG7" i="457"/>
  <c r="AG3" i="457"/>
  <c r="AG10" i="457"/>
  <c r="G13" i="7"/>
  <c r="G9" i="7"/>
  <c r="G5" i="7"/>
  <c r="G6" i="7"/>
  <c r="G12" i="7"/>
  <c r="G8" i="7"/>
  <c r="G4" i="7"/>
  <c r="G14" i="7"/>
  <c r="G10" i="7"/>
  <c r="G11" i="7"/>
  <c r="G7" i="7"/>
  <c r="G3" i="7"/>
  <c r="L14" i="483"/>
  <c r="K14" i="483"/>
  <c r="J14" i="483"/>
  <c r="I8" i="712"/>
  <c r="N11" i="15"/>
  <c r="M10" i="15"/>
  <c r="O8" i="15"/>
  <c r="N7" i="15"/>
  <c r="M6" i="15"/>
  <c r="O4" i="15"/>
  <c r="M9" i="15"/>
  <c r="M5" i="15"/>
  <c r="M11" i="15"/>
  <c r="O9" i="15"/>
  <c r="N8" i="15"/>
  <c r="M7" i="15"/>
  <c r="O5" i="15"/>
  <c r="N4" i="15"/>
  <c r="N10" i="15"/>
  <c r="N6" i="15"/>
  <c r="O10" i="15"/>
  <c r="N9" i="15"/>
  <c r="M8" i="15"/>
  <c r="O6" i="15"/>
  <c r="N5" i="15"/>
  <c r="M4" i="15"/>
  <c r="O11" i="15"/>
  <c r="O7" i="15"/>
  <c r="G8" i="555"/>
  <c r="I6" i="555"/>
  <c r="H5" i="555"/>
  <c r="I7" i="555"/>
  <c r="H6" i="555"/>
  <c r="G5" i="555"/>
  <c r="I8" i="555"/>
  <c r="H7" i="555"/>
  <c r="G6" i="555"/>
  <c r="G7" i="555"/>
  <c r="I5" i="555"/>
  <c r="H8" i="555"/>
  <c r="G13" i="457"/>
  <c r="F12" i="457"/>
  <c r="H10" i="457"/>
  <c r="G9" i="457"/>
  <c r="F8" i="457"/>
  <c r="H6" i="457"/>
  <c r="G5" i="457"/>
  <c r="G12" i="457"/>
  <c r="F13" i="457"/>
  <c r="H11" i="457"/>
  <c r="G10" i="457"/>
  <c r="F9" i="457"/>
  <c r="H7" i="457"/>
  <c r="G6" i="457"/>
  <c r="F5" i="457"/>
  <c r="H13" i="457"/>
  <c r="H9" i="457"/>
  <c r="H12" i="457"/>
  <c r="G11" i="457"/>
  <c r="F10" i="457"/>
  <c r="H8" i="457"/>
  <c r="G7" i="457"/>
  <c r="F6" i="457"/>
  <c r="F11" i="457"/>
  <c r="G8" i="457"/>
  <c r="F7" i="457"/>
  <c r="H5" i="457"/>
  <c r="K12" i="457"/>
  <c r="K11" i="457"/>
  <c r="K10" i="457"/>
  <c r="K9" i="457"/>
  <c r="K8" i="457"/>
  <c r="K7" i="457"/>
  <c r="K6" i="457"/>
  <c r="K5" i="457"/>
  <c r="L12" i="457"/>
  <c r="L9" i="457"/>
  <c r="L6" i="457"/>
  <c r="J12" i="457"/>
  <c r="J11" i="457"/>
  <c r="J10" i="457"/>
  <c r="J9" i="457"/>
  <c r="J8" i="457"/>
  <c r="J7" i="457"/>
  <c r="J6" i="457"/>
  <c r="J5" i="457"/>
  <c r="L11" i="457"/>
  <c r="L7" i="457"/>
  <c r="M12" i="457"/>
  <c r="M11" i="457"/>
  <c r="M10" i="457"/>
  <c r="M9" i="457"/>
  <c r="M8" i="457"/>
  <c r="M7" i="457"/>
  <c r="M6" i="457"/>
  <c r="M5" i="457"/>
  <c r="L10" i="457"/>
  <c r="L8" i="457"/>
  <c r="L5" i="457"/>
  <c r="F14" i="464"/>
  <c r="H12" i="464"/>
  <c r="G11" i="464"/>
  <c r="F10" i="464"/>
  <c r="H8" i="464"/>
  <c r="G7" i="464"/>
  <c r="F6" i="464"/>
  <c r="H4" i="464"/>
  <c r="G3" i="464"/>
  <c r="H11" i="464"/>
  <c r="H7" i="464"/>
  <c r="H3" i="464"/>
  <c r="H13" i="464"/>
  <c r="G12" i="464"/>
  <c r="F11" i="464"/>
  <c r="H9" i="464"/>
  <c r="G8" i="464"/>
  <c r="F7" i="464"/>
  <c r="H5" i="464"/>
  <c r="G4" i="464"/>
  <c r="F3" i="464"/>
  <c r="F13" i="464"/>
  <c r="F9" i="464"/>
  <c r="G6" i="464"/>
  <c r="H14" i="464"/>
  <c r="G13" i="464"/>
  <c r="F12" i="464"/>
  <c r="H10" i="464"/>
  <c r="G9" i="464"/>
  <c r="F8" i="464"/>
  <c r="H6" i="464"/>
  <c r="G5" i="464"/>
  <c r="F4" i="464"/>
  <c r="G14" i="464"/>
  <c r="G10" i="464"/>
  <c r="F5" i="464"/>
  <c r="N8" i="7"/>
  <c r="M7" i="7"/>
  <c r="O5" i="7"/>
  <c r="N4" i="7"/>
  <c r="M6" i="7"/>
  <c r="M8" i="7"/>
  <c r="O6" i="7"/>
  <c r="N5" i="7"/>
  <c r="M4" i="7"/>
  <c r="N7" i="7"/>
  <c r="O7" i="7"/>
  <c r="N6" i="7"/>
  <c r="M5" i="7"/>
  <c r="O8" i="7"/>
  <c r="O4" i="7"/>
  <c r="Q7" i="7"/>
  <c r="Q8" i="7"/>
  <c r="Q10" i="7"/>
  <c r="Q6" i="7"/>
  <c r="Q9" i="7"/>
  <c r="I7" i="712"/>
  <c r="I11" i="712"/>
  <c r="W18" i="368"/>
  <c r="W14" i="368"/>
  <c r="W10" i="368"/>
  <c r="W6" i="368"/>
  <c r="W15" i="368"/>
  <c r="W7" i="368"/>
  <c r="W17" i="368"/>
  <c r="W13" i="368"/>
  <c r="W9" i="368"/>
  <c r="W5" i="368"/>
  <c r="W16" i="368"/>
  <c r="W12" i="368"/>
  <c r="W8" i="368"/>
  <c r="W19" i="368"/>
  <c r="W11" i="368"/>
  <c r="M32" i="15"/>
  <c r="O30" i="15"/>
  <c r="N29" i="15"/>
  <c r="M28" i="15"/>
  <c r="O26" i="15"/>
  <c r="N25" i="15"/>
  <c r="M31" i="15"/>
  <c r="O25" i="15"/>
  <c r="O31" i="15"/>
  <c r="N30" i="15"/>
  <c r="M29" i="15"/>
  <c r="O27" i="15"/>
  <c r="N26" i="15"/>
  <c r="M25" i="15"/>
  <c r="N28" i="15"/>
  <c r="O32" i="15"/>
  <c r="N31" i="15"/>
  <c r="M30" i="15"/>
  <c r="O28" i="15"/>
  <c r="N27" i="15"/>
  <c r="M26" i="15"/>
  <c r="N32" i="15"/>
  <c r="O29" i="15"/>
  <c r="M27" i="15"/>
  <c r="C21" i="553"/>
  <c r="C17" i="553"/>
  <c r="C13" i="553"/>
  <c r="C9" i="553"/>
  <c r="C5" i="553"/>
  <c r="C10" i="553"/>
  <c r="C20" i="553"/>
  <c r="C16" i="553"/>
  <c r="C12" i="553"/>
  <c r="C8" i="553"/>
  <c r="C4" i="553"/>
  <c r="C22" i="553"/>
  <c r="C6" i="553"/>
  <c r="C23" i="553"/>
  <c r="C19" i="553"/>
  <c r="C15" i="553"/>
  <c r="C11" i="553"/>
  <c r="C7" i="553"/>
  <c r="C18" i="553"/>
  <c r="C14" i="553"/>
  <c r="L16" i="483"/>
  <c r="K16" i="483"/>
  <c r="J16" i="483"/>
  <c r="Z12" i="333"/>
  <c r="V12" i="333"/>
  <c r="R12" i="333"/>
  <c r="X11" i="333"/>
  <c r="T11" i="333"/>
  <c r="Z10" i="333"/>
  <c r="V10" i="333"/>
  <c r="Y12" i="333"/>
  <c r="U12" i="333"/>
  <c r="Q12" i="333"/>
  <c r="W11" i="333"/>
  <c r="S11" i="333"/>
  <c r="Y10" i="333"/>
  <c r="U10" i="333"/>
  <c r="S12" i="333"/>
  <c r="U11" i="333"/>
  <c r="W10" i="333"/>
  <c r="Q10" i="333"/>
  <c r="W9" i="333"/>
  <c r="S9" i="333"/>
  <c r="Y8" i="333"/>
  <c r="U8" i="333"/>
  <c r="Q8" i="333"/>
  <c r="W7" i="333"/>
  <c r="S7" i="333"/>
  <c r="Y6" i="333"/>
  <c r="U6" i="333"/>
  <c r="Q6" i="333"/>
  <c r="W5" i="333"/>
  <c r="S5" i="333"/>
  <c r="Y4" i="333"/>
  <c r="U4" i="333"/>
  <c r="Q4" i="333"/>
  <c r="W3" i="333"/>
  <c r="S3" i="333"/>
  <c r="V8" i="333"/>
  <c r="R6" i="333"/>
  <c r="R4" i="333"/>
  <c r="X12" i="333"/>
  <c r="Z11" i="333"/>
  <c r="R11" i="333"/>
  <c r="T10" i="333"/>
  <c r="Z9" i="333"/>
  <c r="V9" i="333"/>
  <c r="R9" i="333"/>
  <c r="X8" i="333"/>
  <c r="T8" i="333"/>
  <c r="Z7" i="333"/>
  <c r="V7" i="333"/>
  <c r="R7" i="333"/>
  <c r="X6" i="333"/>
  <c r="T6" i="333"/>
  <c r="Z5" i="333"/>
  <c r="V5" i="333"/>
  <c r="R5" i="333"/>
  <c r="X4" i="333"/>
  <c r="T4" i="333"/>
  <c r="Z3" i="333"/>
  <c r="V3" i="333"/>
  <c r="R3" i="333"/>
  <c r="T12" i="333"/>
  <c r="V11" i="333"/>
  <c r="X10" i="333"/>
  <c r="X9" i="333"/>
  <c r="T9" i="333"/>
  <c r="Z8" i="333"/>
  <c r="X7" i="333"/>
  <c r="T7" i="333"/>
  <c r="V6" i="333"/>
  <c r="T5" i="333"/>
  <c r="V4" i="333"/>
  <c r="T3" i="333"/>
  <c r="W12" i="333"/>
  <c r="Y11" i="333"/>
  <c r="Q11" i="333"/>
  <c r="S10" i="333"/>
  <c r="Y9" i="333"/>
  <c r="U9" i="333"/>
  <c r="Q9" i="333"/>
  <c r="W8" i="333"/>
  <c r="S8" i="333"/>
  <c r="Y7" i="333"/>
  <c r="U7" i="333"/>
  <c r="Q7" i="333"/>
  <c r="W6" i="333"/>
  <c r="S6" i="333"/>
  <c r="Y5" i="333"/>
  <c r="U5" i="333"/>
  <c r="Q5" i="333"/>
  <c r="W4" i="333"/>
  <c r="S4" i="333"/>
  <c r="Y3" i="333"/>
  <c r="U3" i="333"/>
  <c r="Q3" i="333"/>
  <c r="R10" i="333"/>
  <c r="R8" i="333"/>
  <c r="Z6" i="333"/>
  <c r="X5" i="333"/>
  <c r="Z4" i="333"/>
  <c r="X3" i="333"/>
  <c r="K13" i="555"/>
  <c r="K9" i="555"/>
  <c r="K5" i="555"/>
  <c r="K16" i="555"/>
  <c r="K12" i="555"/>
  <c r="K8" i="555"/>
  <c r="K15" i="555"/>
  <c r="K11" i="555"/>
  <c r="K7" i="555"/>
  <c r="K6" i="555"/>
  <c r="K14" i="555"/>
  <c r="K10" i="555"/>
  <c r="E9" i="556"/>
  <c r="E7" i="556"/>
  <c r="E5" i="556"/>
  <c r="F10" i="556"/>
  <c r="F8" i="556"/>
  <c r="F6" i="556"/>
  <c r="E10" i="556"/>
  <c r="E8" i="556"/>
  <c r="E6" i="556"/>
  <c r="F9" i="556"/>
  <c r="F7" i="556"/>
  <c r="F5" i="556"/>
  <c r="O13" i="457"/>
  <c r="O12" i="457"/>
  <c r="O11" i="457"/>
  <c r="O10" i="457"/>
  <c r="O9" i="457"/>
  <c r="O8" i="457"/>
  <c r="O7" i="457"/>
  <c r="O6" i="457"/>
  <c r="O5" i="457"/>
  <c r="P13" i="457"/>
  <c r="P11" i="457"/>
  <c r="P9" i="457"/>
  <c r="P6" i="457"/>
  <c r="R13" i="457"/>
  <c r="R12" i="457"/>
  <c r="R11" i="457"/>
  <c r="R10" i="457"/>
  <c r="R9" i="457"/>
  <c r="R8" i="457"/>
  <c r="R7" i="457"/>
  <c r="R6" i="457"/>
  <c r="R5" i="457"/>
  <c r="P8" i="457"/>
  <c r="Q13" i="457"/>
  <c r="Q12" i="457"/>
  <c r="Q11" i="457"/>
  <c r="Q10" i="457"/>
  <c r="Q9" i="457"/>
  <c r="Q8" i="457"/>
  <c r="Q7" i="457"/>
  <c r="Q6" i="457"/>
  <c r="Q5" i="457"/>
  <c r="P12" i="457"/>
  <c r="P10" i="457"/>
  <c r="P7" i="457"/>
  <c r="P5" i="457"/>
  <c r="J14" i="464"/>
  <c r="J13" i="464"/>
  <c r="J12" i="464"/>
  <c r="J11" i="464"/>
  <c r="J10" i="464"/>
  <c r="J9" i="464"/>
  <c r="J8" i="464"/>
  <c r="J7" i="464"/>
  <c r="J6" i="464"/>
  <c r="J5" i="464"/>
  <c r="J4" i="464"/>
  <c r="J3" i="464"/>
  <c r="K13" i="464"/>
  <c r="K11" i="464"/>
  <c r="K8" i="464"/>
  <c r="K6" i="464"/>
  <c r="K3" i="464"/>
  <c r="M14" i="464"/>
  <c r="M13" i="464"/>
  <c r="M12" i="464"/>
  <c r="M11" i="464"/>
  <c r="M10" i="464"/>
  <c r="M9" i="464"/>
  <c r="M8" i="464"/>
  <c r="M7" i="464"/>
  <c r="M6" i="464"/>
  <c r="M5" i="464"/>
  <c r="M4" i="464"/>
  <c r="M3" i="464"/>
  <c r="K10" i="464"/>
  <c r="K5" i="464"/>
  <c r="L14" i="464"/>
  <c r="L13" i="464"/>
  <c r="L12" i="464"/>
  <c r="L11" i="464"/>
  <c r="L10" i="464"/>
  <c r="L9" i="464"/>
  <c r="L8" i="464"/>
  <c r="L7" i="464"/>
  <c r="L6" i="464"/>
  <c r="L5" i="464"/>
  <c r="L4" i="464"/>
  <c r="L3" i="464"/>
  <c r="K14" i="464"/>
  <c r="K12" i="464"/>
  <c r="K9" i="464"/>
  <c r="K7" i="464"/>
  <c r="K4" i="464"/>
  <c r="H12" i="712"/>
  <c r="H8" i="712"/>
  <c r="H4" i="712"/>
  <c r="H11" i="712"/>
  <c r="H7" i="712"/>
  <c r="H13" i="712"/>
  <c r="H9" i="712"/>
  <c r="H5" i="712"/>
  <c r="H10" i="712"/>
  <c r="H6" i="712"/>
  <c r="I6" i="712"/>
  <c r="I10" i="712"/>
  <c r="E20" i="553"/>
  <c r="E16" i="553"/>
  <c r="E12" i="553"/>
  <c r="E8" i="553"/>
  <c r="E4" i="553"/>
  <c r="E21" i="553"/>
  <c r="E13" i="553"/>
  <c r="E5" i="553"/>
  <c r="E23" i="553"/>
  <c r="E19" i="553"/>
  <c r="E15" i="553"/>
  <c r="E11" i="553"/>
  <c r="E7" i="553"/>
  <c r="E22" i="553"/>
  <c r="E18" i="553"/>
  <c r="E14" i="553"/>
  <c r="E10" i="553"/>
  <c r="E6" i="553"/>
  <c r="E17" i="553"/>
  <c r="E9" i="553"/>
  <c r="R21" i="328"/>
  <c r="R17" i="328"/>
  <c r="R13" i="328"/>
  <c r="R9" i="328"/>
  <c r="R5" i="328"/>
  <c r="R20" i="328"/>
  <c r="R16" i="328"/>
  <c r="R12" i="328"/>
  <c r="R8" i="328"/>
  <c r="R4" i="328"/>
  <c r="R19" i="328"/>
  <c r="R15" i="328"/>
  <c r="R11" i="328"/>
  <c r="R7" i="328"/>
  <c r="R3" i="328"/>
  <c r="R22" i="328"/>
  <c r="R6" i="328"/>
  <c r="R18" i="328"/>
  <c r="R14" i="328"/>
  <c r="R10" i="328"/>
  <c r="L31" i="745"/>
  <c r="M32" i="745"/>
  <c r="M30" i="745"/>
  <c r="L32" i="745"/>
  <c r="L30" i="745"/>
  <c r="M31" i="745"/>
  <c r="L15" i="483"/>
  <c r="K15" i="483"/>
  <c r="J15" i="483"/>
  <c r="I12" i="712"/>
  <c r="O5" i="695"/>
  <c r="O4" i="695"/>
  <c r="H14" i="686"/>
  <c r="H12" i="686"/>
  <c r="H10" i="686"/>
  <c r="H8" i="686"/>
  <c r="H6" i="686"/>
  <c r="H4" i="686"/>
  <c r="G14" i="686"/>
  <c r="G12" i="686"/>
  <c r="G10" i="686"/>
  <c r="G8" i="686"/>
  <c r="G6" i="686"/>
  <c r="G4" i="686"/>
  <c r="H13" i="686"/>
  <c r="H11" i="686"/>
  <c r="H9" i="686"/>
  <c r="H7" i="686"/>
  <c r="H5" i="686"/>
  <c r="H3" i="686"/>
  <c r="G13" i="686"/>
  <c r="G5" i="686"/>
  <c r="G11" i="686"/>
  <c r="G9" i="686"/>
  <c r="G7" i="686"/>
  <c r="G3" i="686"/>
  <c r="M16" i="555"/>
  <c r="M12" i="555"/>
  <c r="M8" i="555"/>
  <c r="M15" i="555"/>
  <c r="M11" i="555"/>
  <c r="M7" i="555"/>
  <c r="M14" i="555"/>
  <c r="M10" i="555"/>
  <c r="M6" i="555"/>
  <c r="M9" i="555"/>
  <c r="M5" i="555"/>
  <c r="M13" i="555"/>
  <c r="U8" i="555"/>
  <c r="U7" i="555"/>
  <c r="U10" i="555"/>
  <c r="U6" i="555"/>
  <c r="U5" i="555"/>
  <c r="U9" i="555"/>
  <c r="M30" i="555"/>
  <c r="M26" i="555"/>
  <c r="M22" i="555"/>
  <c r="M29" i="555"/>
  <c r="M25" i="555"/>
  <c r="M21" i="555"/>
  <c r="M28" i="555"/>
  <c r="M24" i="555"/>
  <c r="M20" i="555"/>
  <c r="M27" i="555"/>
  <c r="M23" i="555"/>
  <c r="M19" i="555"/>
  <c r="M31" i="555"/>
  <c r="AB14" i="457"/>
  <c r="AB13" i="457"/>
  <c r="AB12" i="457"/>
  <c r="AB11" i="457"/>
  <c r="AB10" i="457"/>
  <c r="AB9" i="457"/>
  <c r="AB8" i="457"/>
  <c r="AB7" i="457"/>
  <c r="AB6" i="457"/>
  <c r="AB5" i="457"/>
  <c r="AB4" i="457"/>
  <c r="AB3" i="457"/>
  <c r="AA14" i="457"/>
  <c r="AA13" i="457"/>
  <c r="AA12" i="457"/>
  <c r="AA11" i="457"/>
  <c r="AA10" i="457"/>
  <c r="AA9" i="457"/>
  <c r="AA8" i="457"/>
  <c r="AA7" i="457"/>
  <c r="AA6" i="457"/>
  <c r="AA5" i="457"/>
  <c r="AA4" i="457"/>
  <c r="AA3" i="457"/>
  <c r="Z14" i="457"/>
  <c r="Z13" i="457"/>
  <c r="Z12" i="457"/>
  <c r="Z11" i="457"/>
  <c r="Z10" i="457"/>
  <c r="Z9" i="457"/>
  <c r="Z8" i="457"/>
  <c r="Z7" i="457"/>
  <c r="Z6" i="457"/>
  <c r="Z5" i="457"/>
  <c r="Z4" i="457"/>
  <c r="Z3" i="457"/>
  <c r="Y14" i="457"/>
  <c r="Y10" i="457"/>
  <c r="Y6" i="457"/>
  <c r="Y7" i="457"/>
  <c r="Y13" i="457"/>
  <c r="Y9" i="457"/>
  <c r="Y5" i="457"/>
  <c r="Y12" i="457"/>
  <c r="Y8" i="457"/>
  <c r="Y4" i="457"/>
  <c r="Y11" i="457"/>
  <c r="Y3" i="457"/>
  <c r="G22" i="457"/>
  <c r="G20" i="457"/>
  <c r="G18" i="457"/>
  <c r="F19" i="457"/>
  <c r="F22" i="457"/>
  <c r="F20" i="457"/>
  <c r="F18" i="457"/>
  <c r="G21" i="457"/>
  <c r="G19" i="457"/>
  <c r="G17" i="457"/>
  <c r="F21" i="457"/>
  <c r="F17" i="457"/>
  <c r="N13" i="482"/>
  <c r="L13" i="482"/>
  <c r="M13" i="482"/>
  <c r="N14" i="482"/>
  <c r="L14" i="482"/>
  <c r="M14" i="482"/>
  <c r="N15" i="482"/>
  <c r="L15" i="482"/>
  <c r="M15" i="482"/>
  <c r="L13" i="483"/>
  <c r="J13" i="483"/>
  <c r="K13" i="483"/>
  <c r="I5" i="712"/>
  <c r="I9" i="712"/>
  <c r="I13" i="712"/>
  <c r="E14" i="742"/>
  <c r="E10" i="742"/>
  <c r="E6" i="742"/>
  <c r="E13" i="742"/>
  <c r="E9" i="742"/>
  <c r="E5" i="742"/>
  <c r="E11" i="742"/>
  <c r="E8" i="742"/>
  <c r="E15" i="742"/>
  <c r="E7" i="742"/>
  <c r="E12" i="742"/>
  <c r="H10" i="328"/>
  <c r="H9" i="328"/>
  <c r="H8" i="328"/>
  <c r="H7" i="328"/>
  <c r="H6" i="328"/>
  <c r="H5" i="328"/>
  <c r="G10" i="328"/>
  <c r="G9" i="328"/>
  <c r="G8" i="328"/>
  <c r="G7" i="328"/>
  <c r="G6" i="328"/>
  <c r="G5" i="328"/>
  <c r="J10" i="328"/>
  <c r="J9" i="328"/>
  <c r="J8" i="328"/>
  <c r="J7" i="328"/>
  <c r="J6" i="328"/>
  <c r="J5" i="328"/>
  <c r="I8" i="328"/>
  <c r="I9" i="328"/>
  <c r="I7" i="328"/>
  <c r="I5" i="328"/>
  <c r="I10" i="328"/>
  <c r="I6" i="328"/>
  <c r="I21" i="330"/>
  <c r="I17" i="330"/>
  <c r="I13" i="330"/>
  <c r="I9" i="330"/>
  <c r="I5" i="330"/>
  <c r="I20" i="330"/>
  <c r="I16" i="330"/>
  <c r="I12" i="330"/>
  <c r="I8" i="330"/>
  <c r="I4" i="330"/>
  <c r="I23" i="330"/>
  <c r="I19" i="330"/>
  <c r="I15" i="330"/>
  <c r="I11" i="330"/>
  <c r="I7" i="330"/>
  <c r="I18" i="330"/>
  <c r="I14" i="330"/>
  <c r="I6" i="330"/>
  <c r="I10" i="330"/>
  <c r="I22" i="330"/>
  <c r="Q20" i="734"/>
  <c r="Q18" i="734"/>
  <c r="Q16" i="734"/>
  <c r="R21" i="734"/>
  <c r="R19" i="734"/>
  <c r="R17" i="734"/>
  <c r="R15" i="734"/>
  <c r="Q21" i="734"/>
  <c r="Q19" i="734"/>
  <c r="Q17" i="734"/>
  <c r="Q15" i="734"/>
  <c r="R18" i="734"/>
  <c r="R16" i="734"/>
  <c r="R20" i="734"/>
  <c r="L25" i="748"/>
  <c r="L23" i="748"/>
  <c r="K25" i="748"/>
  <c r="K23" i="748"/>
  <c r="K26" i="748"/>
  <c r="L24" i="748"/>
  <c r="K24" i="748"/>
  <c r="L26" i="748"/>
  <c r="L10" i="328"/>
  <c r="L9" i="328"/>
  <c r="L8" i="328"/>
  <c r="L7" i="328"/>
  <c r="L6" i="328"/>
  <c r="L5" i="328"/>
  <c r="O10" i="328"/>
  <c r="O9" i="328"/>
  <c r="O8" i="328"/>
  <c r="O7" i="328"/>
  <c r="O6" i="328"/>
  <c r="O5" i="328"/>
  <c r="N10" i="328"/>
  <c r="N9" i="328"/>
  <c r="N8" i="328"/>
  <c r="N7" i="328"/>
  <c r="N6" i="328"/>
  <c r="N5" i="328"/>
  <c r="M10" i="328"/>
  <c r="M6" i="328"/>
  <c r="M9" i="328"/>
  <c r="M5" i="328"/>
  <c r="M7" i="328"/>
  <c r="M8" i="328"/>
  <c r="E23" i="328"/>
  <c r="E19" i="328"/>
  <c r="E22" i="328"/>
  <c r="E21" i="328"/>
  <c r="E24" i="328"/>
  <c r="E20" i="328"/>
  <c r="K9" i="330"/>
  <c r="K8" i="330"/>
  <c r="K7" i="330"/>
  <c r="K6" i="330"/>
  <c r="K5" i="330"/>
  <c r="K4" i="330"/>
  <c r="N9" i="330"/>
  <c r="N8" i="330"/>
  <c r="N7" i="330"/>
  <c r="N6" i="330"/>
  <c r="N5" i="330"/>
  <c r="N4" i="330"/>
  <c r="M9" i="330"/>
  <c r="M8" i="330"/>
  <c r="M7" i="330"/>
  <c r="M6" i="330"/>
  <c r="M5" i="330"/>
  <c r="M4" i="330"/>
  <c r="L6" i="330"/>
  <c r="L9" i="330"/>
  <c r="L5" i="330"/>
  <c r="L8" i="330"/>
  <c r="L4" i="330"/>
  <c r="L7" i="330"/>
  <c r="G19" i="745"/>
  <c r="G17" i="745"/>
  <c r="H18" i="745"/>
  <c r="H16" i="745"/>
  <c r="G18" i="745"/>
  <c r="G16" i="745"/>
  <c r="H17" i="745"/>
  <c r="H19" i="745"/>
  <c r="J22" i="746"/>
  <c r="J20" i="746"/>
  <c r="I22" i="746"/>
  <c r="I20" i="746"/>
  <c r="I23" i="746"/>
  <c r="J21" i="746"/>
  <c r="I21" i="746"/>
  <c r="J23" i="746"/>
  <c r="G29" i="747"/>
  <c r="G27" i="747"/>
  <c r="F29" i="747"/>
  <c r="F27" i="747"/>
  <c r="F30" i="747"/>
  <c r="G28" i="747"/>
  <c r="F28" i="747"/>
  <c r="G30" i="747"/>
  <c r="AQ20" i="743"/>
  <c r="AQ16" i="743"/>
  <c r="AQ12" i="743"/>
  <c r="AQ19" i="743"/>
  <c r="AQ15" i="743"/>
  <c r="AQ11" i="743"/>
  <c r="AQ18" i="743"/>
  <c r="AQ14" i="743"/>
  <c r="AQ10" i="743"/>
  <c r="AQ17" i="743"/>
  <c r="AQ13" i="743"/>
  <c r="D22" i="328"/>
  <c r="D21" i="328"/>
  <c r="D24" i="328"/>
  <c r="D20" i="328"/>
  <c r="D23" i="328"/>
  <c r="D19" i="328"/>
  <c r="S9" i="330"/>
  <c r="S8" i="330"/>
  <c r="S7" i="330"/>
  <c r="S6" i="330"/>
  <c r="S5" i="330"/>
  <c r="S4" i="330"/>
  <c r="R9" i="330"/>
  <c r="R8" i="330"/>
  <c r="R7" i="330"/>
  <c r="R6" i="330"/>
  <c r="R5" i="330"/>
  <c r="R4" i="330"/>
  <c r="Q9" i="330"/>
  <c r="Q8" i="330"/>
  <c r="Q7" i="330"/>
  <c r="Q6" i="330"/>
  <c r="Q5" i="330"/>
  <c r="Q4" i="330"/>
  <c r="P8" i="330"/>
  <c r="P4" i="330"/>
  <c r="P7" i="330"/>
  <c r="P5" i="330"/>
  <c r="P6" i="330"/>
  <c r="P9" i="330"/>
  <c r="I10" i="704"/>
  <c r="I6" i="704"/>
  <c r="I13" i="704"/>
  <c r="I9" i="704"/>
  <c r="I5" i="704"/>
  <c r="I12" i="704"/>
  <c r="I8" i="704"/>
  <c r="I4" i="704"/>
  <c r="I11" i="704"/>
  <c r="I7" i="704"/>
  <c r="AA14" i="719"/>
  <c r="AA12" i="719"/>
  <c r="AA10" i="719"/>
  <c r="AA8" i="719"/>
  <c r="AB13" i="719"/>
  <c r="AB11" i="719"/>
  <c r="AB9" i="719"/>
  <c r="AB7" i="719"/>
  <c r="AA13" i="719"/>
  <c r="AA11" i="719"/>
  <c r="AA9" i="719"/>
  <c r="AA7" i="719"/>
  <c r="AB14" i="719"/>
  <c r="AB12" i="719"/>
  <c r="AB10" i="719"/>
  <c r="AB8" i="719"/>
  <c r="G26" i="745"/>
  <c r="G24" i="745"/>
  <c r="H25" i="745"/>
  <c r="H23" i="745"/>
  <c r="G25" i="745"/>
  <c r="G23" i="745"/>
  <c r="H26" i="745"/>
  <c r="H24" i="745"/>
  <c r="Y13" i="719"/>
  <c r="Y11" i="719"/>
  <c r="Y9" i="719"/>
  <c r="Y7" i="719"/>
  <c r="X13" i="719"/>
  <c r="X11" i="719"/>
  <c r="X9" i="719"/>
  <c r="X7" i="719"/>
  <c r="Y12" i="719"/>
  <c r="Y10" i="719"/>
  <c r="Y8" i="719"/>
  <c r="X12" i="719"/>
  <c r="X10" i="719"/>
  <c r="X8" i="719"/>
  <c r="O16" i="719"/>
  <c r="O14" i="719"/>
  <c r="O12" i="719"/>
  <c r="O10" i="719"/>
  <c r="N16" i="719"/>
  <c r="N14" i="719"/>
  <c r="N12" i="719"/>
  <c r="N10" i="719"/>
  <c r="O15" i="719"/>
  <c r="O13" i="719"/>
  <c r="O11" i="719"/>
  <c r="N15" i="719"/>
  <c r="N13" i="719"/>
  <c r="N11" i="719"/>
  <c r="V13" i="719"/>
  <c r="V11" i="719"/>
  <c r="U13" i="719"/>
  <c r="U11" i="719"/>
  <c r="V12" i="719"/>
  <c r="U12" i="719"/>
  <c r="R9" i="721"/>
  <c r="R7" i="721"/>
  <c r="R5" i="721"/>
  <c r="R3" i="721"/>
  <c r="Q9" i="721"/>
  <c r="Q7" i="721"/>
  <c r="Q5" i="721"/>
  <c r="Q3" i="721"/>
  <c r="R8" i="721"/>
  <c r="R6" i="721"/>
  <c r="R4" i="721"/>
  <c r="Q8" i="721"/>
  <c r="Q6" i="721"/>
  <c r="Q4" i="721"/>
  <c r="T9" i="717"/>
  <c r="T7" i="717"/>
  <c r="T5" i="717"/>
  <c r="T3" i="717"/>
  <c r="S9" i="717"/>
  <c r="S7" i="717"/>
  <c r="S5" i="717"/>
  <c r="S3" i="717"/>
  <c r="T8" i="717"/>
  <c r="T6" i="717"/>
  <c r="T4" i="717"/>
  <c r="S8" i="717"/>
  <c r="S6" i="717"/>
  <c r="S4" i="717"/>
  <c r="C13" i="722"/>
  <c r="C9" i="722"/>
  <c r="C5" i="722"/>
  <c r="C12" i="722"/>
  <c r="C8" i="722"/>
  <c r="C4" i="722"/>
  <c r="C15" i="722"/>
  <c r="C11" i="722"/>
  <c r="C7" i="722"/>
  <c r="C14" i="722"/>
  <c r="C10" i="722"/>
  <c r="C6" i="722"/>
  <c r="I32" i="722"/>
  <c r="I30" i="722"/>
  <c r="I28" i="722"/>
  <c r="I26" i="722"/>
  <c r="H32" i="722"/>
  <c r="H30" i="722"/>
  <c r="H28" i="722"/>
  <c r="H26" i="722"/>
  <c r="I33" i="722"/>
  <c r="I31" i="722"/>
  <c r="I29" i="722"/>
  <c r="I27" i="722"/>
  <c r="H33" i="722"/>
  <c r="H31" i="722"/>
  <c r="H29" i="722"/>
  <c r="H27" i="722"/>
  <c r="M18" i="745"/>
  <c r="M16" i="745"/>
  <c r="L18" i="745"/>
  <c r="L16" i="745"/>
  <c r="M19" i="745"/>
  <c r="M17" i="745"/>
  <c r="L19" i="745"/>
  <c r="L17" i="745"/>
  <c r="M25" i="745"/>
  <c r="M23" i="745"/>
  <c r="L25" i="745"/>
  <c r="L23" i="745"/>
  <c r="M26" i="745"/>
  <c r="M24" i="745"/>
  <c r="L26" i="745"/>
  <c r="L24" i="745"/>
  <c r="D30" i="746"/>
  <c r="D28" i="746"/>
  <c r="E29" i="746"/>
  <c r="E27" i="746"/>
  <c r="E28" i="746"/>
  <c r="D27" i="746"/>
  <c r="E30" i="746"/>
  <c r="D29" i="746"/>
  <c r="F19" i="748"/>
  <c r="F17" i="748"/>
  <c r="G18" i="748"/>
  <c r="G16" i="748"/>
  <c r="G17" i="748"/>
  <c r="F16" i="748"/>
  <c r="G19" i="748"/>
  <c r="F18" i="748"/>
  <c r="E10" i="715"/>
  <c r="E8" i="715"/>
  <c r="F9" i="715"/>
  <c r="E9" i="715"/>
  <c r="F8" i="715"/>
  <c r="F10" i="715"/>
  <c r="U9" i="719"/>
  <c r="U7" i="719"/>
  <c r="V8" i="719"/>
  <c r="U8" i="719"/>
  <c r="V9" i="719"/>
  <c r="V7" i="719"/>
  <c r="C26" i="724"/>
  <c r="C24" i="724"/>
  <c r="C22" i="724"/>
  <c r="C20" i="724"/>
  <c r="D25" i="724"/>
  <c r="D23" i="724"/>
  <c r="D21" i="724"/>
  <c r="C25" i="724"/>
  <c r="C23" i="724"/>
  <c r="C21" i="724"/>
  <c r="D22" i="724"/>
  <c r="D20" i="724"/>
  <c r="D26" i="724"/>
  <c r="D24" i="724"/>
  <c r="N5" i="721"/>
  <c r="N3" i="721"/>
  <c r="O4" i="721"/>
  <c r="N4" i="721"/>
  <c r="O5" i="721"/>
  <c r="O3" i="721"/>
  <c r="P9" i="717"/>
  <c r="P7" i="717"/>
  <c r="P5" i="717"/>
  <c r="P3" i="717"/>
  <c r="Q8" i="717"/>
  <c r="Q6" i="717"/>
  <c r="Q4" i="717"/>
  <c r="P8" i="717"/>
  <c r="P6" i="717"/>
  <c r="P4" i="717"/>
  <c r="Q9" i="717"/>
  <c r="Q7" i="717"/>
  <c r="Q5" i="717"/>
  <c r="Q3" i="717"/>
  <c r="V18" i="722"/>
  <c r="W19" i="722"/>
  <c r="V19" i="722"/>
  <c r="W18" i="722"/>
  <c r="J29" i="746"/>
  <c r="J27" i="746"/>
  <c r="I29" i="746"/>
  <c r="I27" i="746"/>
  <c r="I28" i="746"/>
  <c r="J30" i="746"/>
  <c r="I30" i="746"/>
  <c r="J28" i="746"/>
  <c r="L18" i="748"/>
  <c r="L16" i="748"/>
  <c r="K18" i="748"/>
  <c r="K16" i="748"/>
  <c r="K17" i="748"/>
  <c r="L19" i="748"/>
  <c r="K19" i="748"/>
  <c r="L17" i="748"/>
  <c r="D14" i="742"/>
  <c r="D10" i="742"/>
  <c r="D6" i="742"/>
  <c r="D13" i="742"/>
  <c r="D9" i="742"/>
  <c r="D5" i="742"/>
  <c r="D15" i="742"/>
  <c r="D7" i="742"/>
  <c r="D12" i="742"/>
  <c r="D11" i="742"/>
  <c r="D8" i="742"/>
  <c r="D11" i="716"/>
  <c r="C11" i="716"/>
  <c r="D12" i="716"/>
  <c r="D10" i="716"/>
  <c r="C12" i="716"/>
  <c r="C10" i="716"/>
  <c r="D13" i="723"/>
  <c r="C13" i="723"/>
  <c r="D14" i="723"/>
  <c r="D12" i="723"/>
  <c r="C14" i="723"/>
  <c r="C12" i="723"/>
  <c r="N8" i="717"/>
  <c r="N6" i="717"/>
  <c r="N4" i="717"/>
  <c r="M8" i="717"/>
  <c r="M6" i="717"/>
  <c r="M4" i="717"/>
  <c r="N9" i="717"/>
  <c r="N7" i="717"/>
  <c r="N5" i="717"/>
  <c r="N3" i="717"/>
  <c r="M9" i="717"/>
  <c r="M7" i="717"/>
  <c r="M5" i="717"/>
  <c r="M3" i="717"/>
  <c r="I42" i="722"/>
  <c r="I40" i="722"/>
  <c r="I38" i="722"/>
  <c r="I36" i="722"/>
  <c r="H42" i="722"/>
  <c r="H40" i="722"/>
  <c r="H38" i="722"/>
  <c r="H36" i="722"/>
  <c r="I41" i="722"/>
  <c r="I39" i="722"/>
  <c r="I37" i="722"/>
  <c r="I35" i="722"/>
  <c r="H41" i="722"/>
  <c r="H39" i="722"/>
  <c r="H37" i="722"/>
  <c r="H35" i="722"/>
  <c r="D23" i="746"/>
  <c r="D21" i="746"/>
  <c r="E22" i="746"/>
  <c r="E20" i="746"/>
  <c r="E23" i="746"/>
  <c r="D22" i="746"/>
  <c r="E21" i="746"/>
  <c r="D20" i="746"/>
  <c r="I35" i="746"/>
  <c r="J36" i="746"/>
  <c r="J34" i="746"/>
  <c r="I36" i="746"/>
  <c r="J35" i="746"/>
  <c r="I34" i="746"/>
  <c r="F26" i="748"/>
  <c r="F24" i="748"/>
  <c r="G25" i="748"/>
  <c r="G23" i="748"/>
  <c r="G26" i="748"/>
  <c r="F25" i="748"/>
  <c r="G24" i="748"/>
  <c r="F23" i="748"/>
  <c r="G19" i="742"/>
  <c r="H20" i="742"/>
  <c r="H18" i="742"/>
  <c r="G20" i="742"/>
  <c r="G18" i="742"/>
  <c r="H19" i="742"/>
  <c r="AV16" i="743"/>
  <c r="AV12" i="743"/>
  <c r="AV19" i="743"/>
  <c r="AV15" i="743"/>
  <c r="AV11" i="743"/>
  <c r="AV18" i="743"/>
  <c r="AV14" i="743"/>
  <c r="AV10" i="743"/>
  <c r="AV17" i="743"/>
  <c r="AV13" i="743"/>
  <c r="H20" i="743"/>
  <c r="H18" i="743"/>
  <c r="G20" i="743"/>
  <c r="G18" i="743"/>
  <c r="H19" i="743"/>
  <c r="G19" i="743"/>
  <c r="G23" i="747"/>
  <c r="G21" i="747"/>
  <c r="F23" i="747"/>
  <c r="F21" i="747"/>
  <c r="F20" i="747"/>
  <c r="G22" i="747"/>
  <c r="F22" i="747"/>
  <c r="G20" i="747"/>
  <c r="AO18" i="742"/>
  <c r="AO14" i="742"/>
  <c r="AO21" i="742"/>
  <c r="AO17" i="742"/>
  <c r="AO13" i="742"/>
  <c r="AO19" i="742"/>
  <c r="AO11" i="742"/>
  <c r="AO16" i="742"/>
  <c r="AO15" i="742"/>
  <c r="AO12" i="742"/>
  <c r="AO20" i="742"/>
  <c r="AT18" i="742"/>
  <c r="AT14" i="742"/>
  <c r="AT17" i="742"/>
  <c r="AT13" i="742"/>
  <c r="AT15" i="742"/>
  <c r="AT20" i="742"/>
  <c r="AT12" i="742"/>
  <c r="AT19" i="742"/>
  <c r="AT11" i="742"/>
  <c r="AT16" i="742"/>
  <c r="D13" i="743"/>
  <c r="D9" i="743"/>
  <c r="D5" i="743"/>
  <c r="D12" i="743"/>
  <c r="D8" i="743"/>
  <c r="D15" i="743"/>
  <c r="D11" i="743"/>
  <c r="D7" i="743"/>
  <c r="D14" i="743"/>
  <c r="D10" i="743"/>
  <c r="D6" i="743"/>
  <c r="E13" i="743"/>
  <c r="E9" i="743"/>
  <c r="E5" i="743"/>
  <c r="E12" i="743"/>
  <c r="E8" i="743"/>
  <c r="E15" i="743"/>
  <c r="E11" i="743"/>
  <c r="E7" i="743"/>
  <c r="E6" i="743"/>
  <c r="E14" i="743"/>
  <c r="E10" i="743"/>
  <c r="T9" i="692"/>
  <c r="T7" i="692"/>
  <c r="T5" i="692"/>
  <c r="U8" i="692"/>
  <c r="U6" i="692"/>
  <c r="U4" i="692"/>
  <c r="T8" i="692"/>
  <c r="T6" i="692"/>
  <c r="T4" i="692"/>
  <c r="U7" i="692"/>
  <c r="U5" i="692"/>
  <c r="U9" i="692"/>
  <c r="X14" i="693"/>
  <c r="X12" i="693"/>
  <c r="X10" i="693"/>
  <c r="Y13" i="693"/>
  <c r="Y11" i="693"/>
  <c r="Y9" i="693"/>
  <c r="X13" i="693"/>
  <c r="X11" i="693"/>
  <c r="X9" i="693"/>
  <c r="Y14" i="693"/>
  <c r="Y12" i="693"/>
  <c r="Y10" i="693"/>
  <c r="Q7" i="609"/>
  <c r="Q5" i="609"/>
  <c r="P7" i="609"/>
  <c r="P5" i="609"/>
  <c r="Q8" i="609"/>
  <c r="Q6" i="609"/>
  <c r="P8" i="609"/>
  <c r="P6" i="609"/>
  <c r="AR26" i="610"/>
  <c r="AN26" i="610"/>
  <c r="AQ25" i="610"/>
  <c r="AT24" i="610"/>
  <c r="AP24" i="610"/>
  <c r="AS23" i="610"/>
  <c r="AO23" i="610"/>
  <c r="AQ26" i="610"/>
  <c r="AT25" i="610"/>
  <c r="AP25" i="610"/>
  <c r="AS24" i="610"/>
  <c r="AO24" i="610"/>
  <c r="AR23" i="610"/>
  <c r="AN23" i="610"/>
  <c r="AT26" i="610"/>
  <c r="AP26" i="610"/>
  <c r="AS25" i="610"/>
  <c r="AO25" i="610"/>
  <c r="AR24" i="610"/>
  <c r="AN24" i="610"/>
  <c r="AQ23" i="610"/>
  <c r="AN25" i="610"/>
  <c r="AS26" i="610"/>
  <c r="AQ24" i="610"/>
  <c r="AO26" i="610"/>
  <c r="AT23" i="610"/>
  <c r="AR25" i="610"/>
  <c r="AP23" i="610"/>
  <c r="D7" i="498"/>
  <c r="D6" i="498"/>
  <c r="D8" i="498"/>
  <c r="L9" i="728"/>
  <c r="L7" i="728"/>
  <c r="L5" i="728"/>
  <c r="K9" i="728"/>
  <c r="K7" i="728"/>
  <c r="K5" i="728"/>
  <c r="L6" i="728"/>
  <c r="K6" i="728"/>
  <c r="L8" i="728"/>
  <c r="K8" i="728"/>
  <c r="F21" i="711"/>
  <c r="F19" i="711"/>
  <c r="F17" i="711"/>
  <c r="G22" i="711"/>
  <c r="G20" i="711"/>
  <c r="G18" i="711"/>
  <c r="F22" i="711"/>
  <c r="F20" i="711"/>
  <c r="F18" i="711"/>
  <c r="G21" i="711"/>
  <c r="G19" i="711"/>
  <c r="G17" i="711"/>
  <c r="AV31" i="610"/>
  <c r="AV27" i="610"/>
  <c r="AV23" i="610"/>
  <c r="AV30" i="610"/>
  <c r="AV26" i="610"/>
  <c r="AV29" i="610"/>
  <c r="AV25" i="610"/>
  <c r="AV24" i="610"/>
  <c r="AV28" i="610"/>
  <c r="Q38" i="692"/>
  <c r="Q36" i="692"/>
  <c r="Q34" i="692"/>
  <c r="R39" i="692"/>
  <c r="R37" i="692"/>
  <c r="R35" i="692"/>
  <c r="Q39" i="692"/>
  <c r="Q37" i="692"/>
  <c r="Q35" i="692"/>
  <c r="R36" i="692"/>
  <c r="R34" i="692"/>
  <c r="R38" i="692"/>
  <c r="E5" i="498"/>
  <c r="F5" i="498"/>
  <c r="E6" i="729"/>
  <c r="E8" i="729"/>
  <c r="E7" i="729"/>
  <c r="T7" i="727"/>
  <c r="T4" i="727"/>
  <c r="T8" i="727"/>
  <c r="T6" i="727"/>
  <c r="T5" i="727"/>
  <c r="K19" i="710"/>
  <c r="K17" i="710"/>
  <c r="K15" i="710"/>
  <c r="J19" i="710"/>
  <c r="J17" i="710"/>
  <c r="J15" i="710"/>
  <c r="K20" i="710"/>
  <c r="K18" i="710"/>
  <c r="K16" i="710"/>
  <c r="K14" i="710"/>
  <c r="J14" i="710"/>
  <c r="J20" i="710"/>
  <c r="J18" i="710"/>
  <c r="J16" i="710"/>
  <c r="BF10" i="610"/>
  <c r="BB10" i="610"/>
  <c r="BE9" i="610"/>
  <c r="BA9" i="610"/>
  <c r="BD8" i="610"/>
  <c r="AZ8" i="610"/>
  <c r="BC7" i="610"/>
  <c r="BE10" i="610"/>
  <c r="BA10" i="610"/>
  <c r="BD9" i="610"/>
  <c r="AZ9" i="610"/>
  <c r="BC8" i="610"/>
  <c r="BF7" i="610"/>
  <c r="BB7" i="610"/>
  <c r="BD10" i="610"/>
  <c r="AZ10" i="610"/>
  <c r="BC9" i="610"/>
  <c r="BF8" i="610"/>
  <c r="BB8" i="610"/>
  <c r="BE7" i="610"/>
  <c r="BA7" i="610"/>
  <c r="BF9" i="610"/>
  <c r="BD7" i="610"/>
  <c r="BB9" i="610"/>
  <c r="AZ7" i="610"/>
  <c r="BE8" i="610"/>
  <c r="BC10" i="610"/>
  <c r="BA8" i="610"/>
  <c r="R9" i="692"/>
  <c r="R7" i="692"/>
  <c r="R5" i="692"/>
  <c r="Q9" i="692"/>
  <c r="Q7" i="692"/>
  <c r="Q5" i="692"/>
  <c r="R8" i="692"/>
  <c r="R6" i="692"/>
  <c r="R4" i="692"/>
  <c r="Q6" i="692"/>
  <c r="Q4" i="692"/>
  <c r="Q8" i="692"/>
  <c r="U39" i="692"/>
  <c r="U37" i="692"/>
  <c r="U35" i="692"/>
  <c r="T39" i="692"/>
  <c r="T37" i="692"/>
  <c r="T35" i="692"/>
  <c r="U38" i="692"/>
  <c r="U36" i="692"/>
  <c r="U34" i="692"/>
  <c r="T38" i="692"/>
  <c r="T36" i="692"/>
  <c r="T34" i="692"/>
  <c r="G5" i="729"/>
  <c r="F5" i="729"/>
  <c r="R7" i="727"/>
  <c r="R5" i="727"/>
  <c r="Q7" i="727"/>
  <c r="Q5" i="727"/>
  <c r="R8" i="727"/>
  <c r="R6" i="727"/>
  <c r="R4" i="727"/>
  <c r="Q8" i="727"/>
  <c r="Q6" i="727"/>
  <c r="Q4" i="727"/>
  <c r="R30" i="727"/>
  <c r="R28" i="727"/>
  <c r="Q30" i="727"/>
  <c r="R29" i="727"/>
  <c r="Q29" i="727"/>
  <c r="Q28" i="727"/>
  <c r="O6" i="728"/>
  <c r="N6" i="728"/>
  <c r="O7" i="728"/>
  <c r="O5" i="728"/>
  <c r="N7" i="728"/>
  <c r="N5" i="728"/>
  <c r="M22" i="415"/>
  <c r="I22" i="415"/>
  <c r="L21" i="415"/>
  <c r="O20" i="415"/>
  <c r="K20" i="415"/>
  <c r="N19" i="415"/>
  <c r="J19" i="415"/>
  <c r="M18" i="415"/>
  <c r="I18" i="415"/>
  <c r="L17" i="415"/>
  <c r="O16" i="415"/>
  <c r="K16" i="415"/>
  <c r="N15" i="415"/>
  <c r="J15" i="415"/>
  <c r="M14" i="415"/>
  <c r="I14" i="415"/>
  <c r="L13" i="415"/>
  <c r="O12" i="415"/>
  <c r="K12" i="415"/>
  <c r="N11" i="415"/>
  <c r="J11" i="415"/>
  <c r="M10" i="415"/>
  <c r="I10" i="415"/>
  <c r="L9" i="415"/>
  <c r="O8" i="415"/>
  <c r="K8" i="415"/>
  <c r="N7" i="415"/>
  <c r="J7" i="415"/>
  <c r="M6" i="415"/>
  <c r="I6" i="415"/>
  <c r="L5" i="415"/>
  <c r="O4" i="415"/>
  <c r="K4" i="415"/>
  <c r="N3" i="415"/>
  <c r="J3" i="415"/>
  <c r="O5" i="415"/>
  <c r="J4" i="415"/>
  <c r="O22" i="415"/>
  <c r="N21" i="415"/>
  <c r="M20" i="415"/>
  <c r="L19" i="415"/>
  <c r="K18" i="415"/>
  <c r="L22" i="415"/>
  <c r="O21" i="415"/>
  <c r="K21" i="415"/>
  <c r="N20" i="415"/>
  <c r="J20" i="415"/>
  <c r="M19" i="415"/>
  <c r="I19" i="415"/>
  <c r="L18" i="415"/>
  <c r="O17" i="415"/>
  <c r="K17" i="415"/>
  <c r="N16" i="415"/>
  <c r="J16" i="415"/>
  <c r="M15" i="415"/>
  <c r="I15" i="415"/>
  <c r="L14" i="415"/>
  <c r="O13" i="415"/>
  <c r="K13" i="415"/>
  <c r="N12" i="415"/>
  <c r="J12" i="415"/>
  <c r="M11" i="415"/>
  <c r="I11" i="415"/>
  <c r="L10" i="415"/>
  <c r="O9" i="415"/>
  <c r="K9" i="415"/>
  <c r="N8" i="415"/>
  <c r="J8" i="415"/>
  <c r="M7" i="415"/>
  <c r="I7" i="415"/>
  <c r="L6" i="415"/>
  <c r="K5" i="415"/>
  <c r="N4" i="415"/>
  <c r="M3" i="415"/>
  <c r="I3" i="415"/>
  <c r="K22" i="415"/>
  <c r="J21" i="415"/>
  <c r="I20" i="415"/>
  <c r="O18" i="415"/>
  <c r="N17" i="415"/>
  <c r="M16" i="415"/>
  <c r="I16" i="415"/>
  <c r="N22" i="415"/>
  <c r="L20" i="415"/>
  <c r="J18" i="415"/>
  <c r="L16" i="415"/>
  <c r="O14" i="415"/>
  <c r="N13" i="415"/>
  <c r="M12" i="415"/>
  <c r="L11" i="415"/>
  <c r="K10" i="415"/>
  <c r="J9" i="415"/>
  <c r="I8" i="415"/>
  <c r="O6" i="415"/>
  <c r="N5" i="415"/>
  <c r="M4" i="415"/>
  <c r="L3" i="415"/>
  <c r="J10" i="415"/>
  <c r="O7" i="415"/>
  <c r="L4" i="415"/>
  <c r="K19" i="415"/>
  <c r="K14" i="415"/>
  <c r="I12" i="415"/>
  <c r="N9" i="415"/>
  <c r="L7" i="415"/>
  <c r="J5" i="415"/>
  <c r="O3" i="415"/>
  <c r="J22" i="415"/>
  <c r="O19" i="415"/>
  <c r="M17" i="415"/>
  <c r="O15" i="415"/>
  <c r="N14" i="415"/>
  <c r="M13" i="415"/>
  <c r="L12" i="415"/>
  <c r="K11" i="415"/>
  <c r="I9" i="415"/>
  <c r="N6" i="415"/>
  <c r="M5" i="415"/>
  <c r="K3" i="415"/>
  <c r="M21" i="415"/>
  <c r="J17" i="415"/>
  <c r="L15" i="415"/>
  <c r="J13" i="415"/>
  <c r="O10" i="415"/>
  <c r="M8" i="415"/>
  <c r="K6" i="415"/>
  <c r="I4" i="415"/>
  <c r="I21" i="415"/>
  <c r="N18" i="415"/>
  <c r="I17" i="415"/>
  <c r="K15" i="415"/>
  <c r="J14" i="415"/>
  <c r="I13" i="415"/>
  <c r="O11" i="415"/>
  <c r="N10" i="415"/>
  <c r="M9" i="415"/>
  <c r="L8" i="415"/>
  <c r="K7" i="415"/>
  <c r="J6" i="415"/>
  <c r="I5" i="415"/>
  <c r="T18" i="415"/>
  <c r="W17" i="415"/>
  <c r="S17" i="415"/>
  <c r="V16" i="415"/>
  <c r="R16" i="415"/>
  <c r="U15" i="415"/>
  <c r="Q15" i="415"/>
  <c r="T14" i="415"/>
  <c r="W13" i="415"/>
  <c r="S13" i="415"/>
  <c r="V12" i="415"/>
  <c r="R12" i="415"/>
  <c r="U11" i="415"/>
  <c r="Q11" i="415"/>
  <c r="T10" i="415"/>
  <c r="W9" i="415"/>
  <c r="S9" i="415"/>
  <c r="V8" i="415"/>
  <c r="R8" i="415"/>
  <c r="U7" i="415"/>
  <c r="Q7" i="415"/>
  <c r="T6" i="415"/>
  <c r="W5" i="415"/>
  <c r="S5" i="415"/>
  <c r="V4" i="415"/>
  <c r="R4" i="415"/>
  <c r="U3" i="415"/>
  <c r="Q3" i="415"/>
  <c r="V18" i="415"/>
  <c r="U17" i="415"/>
  <c r="T16" i="415"/>
  <c r="S15" i="415"/>
  <c r="R14" i="415"/>
  <c r="Q13" i="415"/>
  <c r="W11" i="415"/>
  <c r="V10" i="415"/>
  <c r="U9" i="415"/>
  <c r="T8" i="415"/>
  <c r="S7" i="415"/>
  <c r="R6" i="415"/>
  <c r="Q5" i="415"/>
  <c r="W3" i="415"/>
  <c r="W18" i="415"/>
  <c r="S18" i="415"/>
  <c r="V17" i="415"/>
  <c r="R17" i="415"/>
  <c r="U16" i="415"/>
  <c r="Q16" i="415"/>
  <c r="T15" i="415"/>
  <c r="W14" i="415"/>
  <c r="S14" i="415"/>
  <c r="V13" i="415"/>
  <c r="R13" i="415"/>
  <c r="U12" i="415"/>
  <c r="Q12" i="415"/>
  <c r="T11" i="415"/>
  <c r="W10" i="415"/>
  <c r="S10" i="415"/>
  <c r="V9" i="415"/>
  <c r="R9" i="415"/>
  <c r="U8" i="415"/>
  <c r="Q8" i="415"/>
  <c r="T7" i="415"/>
  <c r="W6" i="415"/>
  <c r="S6" i="415"/>
  <c r="V5" i="415"/>
  <c r="R5" i="415"/>
  <c r="U4" i="415"/>
  <c r="Q4" i="415"/>
  <c r="T3" i="415"/>
  <c r="R18" i="415"/>
  <c r="Q17" i="415"/>
  <c r="W15" i="415"/>
  <c r="V14" i="415"/>
  <c r="U13" i="415"/>
  <c r="T12" i="415"/>
  <c r="S11" i="415"/>
  <c r="R10" i="415"/>
  <c r="Q9" i="415"/>
  <c r="W7" i="415"/>
  <c r="V6" i="415"/>
  <c r="U5" i="415"/>
  <c r="T4" i="415"/>
  <c r="S3" i="415"/>
  <c r="U18" i="415"/>
  <c r="S16" i="415"/>
  <c r="Q14" i="415"/>
  <c r="V11" i="415"/>
  <c r="T9" i="415"/>
  <c r="R7" i="415"/>
  <c r="W4" i="415"/>
  <c r="T17" i="415"/>
  <c r="W12" i="415"/>
  <c r="S8" i="415"/>
  <c r="V3" i="415"/>
  <c r="Q18" i="415"/>
  <c r="V15" i="415"/>
  <c r="T13" i="415"/>
  <c r="R11" i="415"/>
  <c r="W8" i="415"/>
  <c r="U6" i="415"/>
  <c r="S4" i="415"/>
  <c r="R15" i="415"/>
  <c r="U10" i="415"/>
  <c r="Q6" i="415"/>
  <c r="W16" i="415"/>
  <c r="U14" i="415"/>
  <c r="S12" i="415"/>
  <c r="Q10" i="415"/>
  <c r="V7" i="415"/>
  <c r="T5" i="415"/>
  <c r="R3" i="415"/>
  <c r="B6" i="547"/>
  <c r="B10" i="547"/>
  <c r="B11" i="547" s="1"/>
  <c r="W13" i="722"/>
  <c r="D16" i="724"/>
  <c r="D18" i="748" l="1"/>
  <c r="D17" i="748"/>
  <c r="D16" i="748"/>
  <c r="D15" i="748"/>
  <c r="D14" i="748"/>
  <c r="D13" i="748"/>
  <c r="D12" i="748"/>
  <c r="D11" i="748"/>
  <c r="D10" i="748"/>
  <c r="S9" i="748"/>
  <c r="S9" i="748" a="1"/>
  <c r="G9" i="748"/>
  <c r="D9" i="748"/>
  <c r="S8" i="748"/>
  <c r="R8" i="748"/>
  <c r="Q8" i="748"/>
  <c r="Q9" i="748" s="1"/>
  <c r="V9" i="748" s="1"/>
  <c r="P8" i="748"/>
  <c r="D8" i="748"/>
  <c r="S7" i="748"/>
  <c r="R7" i="748"/>
  <c r="Q7" i="748"/>
  <c r="P7" i="748"/>
  <c r="D7" i="748"/>
  <c r="G6" i="748"/>
  <c r="D6" i="748"/>
  <c r="G5" i="748"/>
  <c r="D5" i="748"/>
  <c r="L6" i="748" s="1"/>
  <c r="A5" i="748"/>
  <c r="A6" i="748" s="1"/>
  <c r="A7" i="748" s="1"/>
  <c r="A8" i="748" s="1"/>
  <c r="A9" i="748" s="1"/>
  <c r="A10" i="748" s="1"/>
  <c r="A11" i="748" s="1"/>
  <c r="A12" i="748" s="1"/>
  <c r="A13" i="748" s="1"/>
  <c r="A14" i="748" s="1"/>
  <c r="A15" i="748" s="1"/>
  <c r="A16" i="748" s="1"/>
  <c r="A17" i="748" s="1"/>
  <c r="A18" i="748" s="1"/>
  <c r="D4" i="748"/>
  <c r="L5" i="748" s="1"/>
  <c r="L3" i="748"/>
  <c r="D18" i="747"/>
  <c r="D17" i="747"/>
  <c r="D16" i="747"/>
  <c r="D15" i="747"/>
  <c r="D14" i="747"/>
  <c r="D13" i="747"/>
  <c r="D12" i="747"/>
  <c r="D11" i="747"/>
  <c r="D10" i="747"/>
  <c r="D9" i="747"/>
  <c r="G8" i="747"/>
  <c r="D8" i="747"/>
  <c r="G7" i="747"/>
  <c r="G9" i="747" s="1"/>
  <c r="D7" i="747"/>
  <c r="A7" i="747"/>
  <c r="A8" i="747" s="1"/>
  <c r="A9" i="747" s="1"/>
  <c r="A10" i="747" s="1"/>
  <c r="A11" i="747" s="1"/>
  <c r="A12" i="747" s="1"/>
  <c r="A13" i="747" s="1"/>
  <c r="A14" i="747" s="1"/>
  <c r="A15" i="747" s="1"/>
  <c r="A16" i="747" s="1"/>
  <c r="A17" i="747" s="1"/>
  <c r="A18" i="747" s="1"/>
  <c r="G6" i="747"/>
  <c r="D6" i="747"/>
  <c r="A6" i="747"/>
  <c r="G5" i="747"/>
  <c r="D5" i="747"/>
  <c r="A5" i="747"/>
  <c r="G4" i="747"/>
  <c r="D4" i="747"/>
  <c r="G3" i="747"/>
  <c r="E13" i="746"/>
  <c r="J8" i="746"/>
  <c r="E8" i="746"/>
  <c r="J7" i="746"/>
  <c r="E7" i="746"/>
  <c r="J6" i="746"/>
  <c r="E6" i="746"/>
  <c r="J5" i="746"/>
  <c r="E5" i="746"/>
  <c r="J4" i="746"/>
  <c r="E4" i="746"/>
  <c r="J3" i="746"/>
  <c r="E3" i="746"/>
  <c r="H9" i="745"/>
  <c r="M6" i="745"/>
  <c r="H6" i="745"/>
  <c r="M5" i="745"/>
  <c r="H5" i="745"/>
  <c r="M3" i="745"/>
  <c r="H3" i="745"/>
  <c r="H8" i="745" s="1"/>
  <c r="D17" i="724"/>
  <c r="G10" i="747" l="1"/>
  <c r="L8" i="748"/>
  <c r="M8" i="745"/>
  <c r="R13" i="748"/>
  <c r="R14" i="748"/>
  <c r="T14" i="748" s="1"/>
  <c r="L10" i="748"/>
  <c r="L9" i="748"/>
  <c r="L14" i="748"/>
  <c r="T9" i="748"/>
  <c r="G3" i="748"/>
  <c r="W9" i="748"/>
  <c r="R9" i="748"/>
  <c r="U9" i="748"/>
  <c r="G12" i="747"/>
  <c r="G18" i="747" s="1"/>
  <c r="G13" i="747"/>
  <c r="E10" i="746"/>
  <c r="E12" i="746" s="1"/>
  <c r="E9" i="746"/>
  <c r="J13" i="746"/>
  <c r="J9" i="746"/>
  <c r="J10" i="746" s="1"/>
  <c r="J12" i="746" s="1"/>
  <c r="H14" i="745"/>
  <c r="H11" i="745"/>
  <c r="H10" i="745"/>
  <c r="H12" i="745" s="1"/>
  <c r="M9" i="745"/>
  <c r="M10" i="745"/>
  <c r="M14" i="745" s="1"/>
  <c r="Q14" i="748" l="1"/>
  <c r="U14" i="748" s="1"/>
  <c r="Q13" i="748"/>
  <c r="U13" i="748" s="1"/>
  <c r="X9" i="748"/>
  <c r="S14" i="748"/>
  <c r="G8" i="748"/>
  <c r="G14" i="747"/>
  <c r="J18" i="746"/>
  <c r="J14" i="746"/>
  <c r="E14" i="746"/>
  <c r="E16" i="746" s="1"/>
  <c r="E18" i="746"/>
  <c r="E15" i="746"/>
  <c r="G14" i="748" l="1"/>
  <c r="G11" i="748"/>
  <c r="G10" i="748"/>
  <c r="G12" i="748" s="1"/>
  <c r="Q5" i="707" l="1"/>
  <c r="R5" i="707"/>
  <c r="S5" i="707"/>
  <c r="Q6" i="707"/>
  <c r="R6" i="707"/>
  <c r="S6" i="707"/>
  <c r="Q7" i="707"/>
  <c r="R7" i="707"/>
  <c r="S7" i="707"/>
  <c r="Q8" i="707"/>
  <c r="R8" i="707"/>
  <c r="S8" i="707"/>
  <c r="Q9" i="707"/>
  <c r="R9" i="707"/>
  <c r="S9" i="707"/>
  <c r="Q10" i="707"/>
  <c r="R10" i="707"/>
  <c r="S10" i="707"/>
  <c r="Q11" i="707"/>
  <c r="R11" i="707"/>
  <c r="S11" i="707"/>
  <c r="Q12" i="707"/>
  <c r="R12" i="707"/>
  <c r="S12" i="707"/>
  <c r="Q13" i="707"/>
  <c r="R13" i="707"/>
  <c r="S13" i="707"/>
  <c r="R4" i="707"/>
  <c r="S4" i="707"/>
  <c r="Q4" i="707"/>
  <c r="G9" i="707"/>
  <c r="H13" i="707" a="1"/>
  <c r="H13" i="707" s="1"/>
  <c r="G14" i="707"/>
  <c r="H14" i="707"/>
  <c r="G15" i="707"/>
  <c r="G8" i="707" s="1"/>
  <c r="H15" i="707"/>
  <c r="H8" i="707" s="1"/>
  <c r="G16" i="707"/>
  <c r="H16" i="707"/>
  <c r="H9" i="707" s="1"/>
  <c r="H17" i="707" a="1"/>
  <c r="H17" i="707" s="1"/>
  <c r="H10" i="707" s="1"/>
  <c r="G18" i="707"/>
  <c r="H18" i="707"/>
  <c r="F18" i="707"/>
  <c r="F16" i="707"/>
  <c r="F17" i="707" s="1" a="1"/>
  <c r="F17" i="707" s="1"/>
  <c r="F10" i="707" s="1"/>
  <c r="F15" i="707"/>
  <c r="F8" i="707" s="1"/>
  <c r="F14" i="707"/>
  <c r="G5" i="707"/>
  <c r="H5" i="707"/>
  <c r="F5" i="707"/>
  <c r="Q5" i="706"/>
  <c r="R5" i="706"/>
  <c r="S5" i="706"/>
  <c r="Q6" i="706"/>
  <c r="R6" i="706"/>
  <c r="S6" i="706"/>
  <c r="Q7" i="706"/>
  <c r="R7" i="706"/>
  <c r="S7" i="706"/>
  <c r="Q8" i="706"/>
  <c r="R8" i="706"/>
  <c r="S8" i="706"/>
  <c r="Q9" i="706"/>
  <c r="R9" i="706"/>
  <c r="S9" i="706"/>
  <c r="Q10" i="706"/>
  <c r="R10" i="706"/>
  <c r="S10" i="706"/>
  <c r="Q11" i="706"/>
  <c r="R11" i="706"/>
  <c r="S11" i="706"/>
  <c r="Q12" i="706"/>
  <c r="R12" i="706"/>
  <c r="S12" i="706"/>
  <c r="Q13" i="706"/>
  <c r="R13" i="706"/>
  <c r="S13" i="706"/>
  <c r="R4" i="706"/>
  <c r="S4" i="706"/>
  <c r="Q4" i="706"/>
  <c r="G22" i="706"/>
  <c r="G21" i="706"/>
  <c r="H7" i="706"/>
  <c r="F8" i="706"/>
  <c r="G13" i="706"/>
  <c r="H13" i="706"/>
  <c r="H12" i="706" s="1" a="1"/>
  <c r="H12" i="706" s="1"/>
  <c r="H6" i="706" s="1"/>
  <c r="G14" i="706"/>
  <c r="G7" i="706" s="1"/>
  <c r="H14" i="706"/>
  <c r="G15" i="706"/>
  <c r="G16" i="706" s="1" a="1"/>
  <c r="G16" i="706" s="1"/>
  <c r="G9" i="706" s="1"/>
  <c r="H15" i="706"/>
  <c r="H8" i="706" s="1"/>
  <c r="H16" i="706" a="1"/>
  <c r="H16" i="706" s="1"/>
  <c r="H9" i="706" s="1"/>
  <c r="G17" i="706"/>
  <c r="H17" i="706"/>
  <c r="F17" i="706"/>
  <c r="F16" i="706" a="1"/>
  <c r="F16" i="706" s="1"/>
  <c r="F9" i="706" s="1"/>
  <c r="F15" i="706"/>
  <c r="F14" i="706"/>
  <c r="F13" i="706"/>
  <c r="F12" i="706" s="1" a="1"/>
  <c r="F12" i="706" s="1"/>
  <c r="F6" i="706" s="1"/>
  <c r="G4" i="706"/>
  <c r="H4" i="706"/>
  <c r="F4" i="706"/>
  <c r="G21" i="705"/>
  <c r="G13" i="705"/>
  <c r="G12" i="705" s="1" a="1"/>
  <c r="G12" i="705" s="1"/>
  <c r="H13" i="705"/>
  <c r="G14" i="705"/>
  <c r="G7" i="705" s="1"/>
  <c r="H14" i="705"/>
  <c r="H7" i="705" s="1"/>
  <c r="G15" i="705"/>
  <c r="G16" i="705" s="1" a="1"/>
  <c r="G16" i="705" s="1"/>
  <c r="G9" i="705" s="1"/>
  <c r="H15" i="705"/>
  <c r="H8" i="705" s="1"/>
  <c r="G17" i="705"/>
  <c r="H17" i="705"/>
  <c r="F17" i="705"/>
  <c r="F15" i="705"/>
  <c r="F14" i="705"/>
  <c r="F7" i="705" s="1"/>
  <c r="F13" i="705"/>
  <c r="F12" i="705" s="1" a="1"/>
  <c r="F12" i="705" s="1"/>
  <c r="G4" i="705"/>
  <c r="H4" i="705"/>
  <c r="F4" i="705"/>
  <c r="F9" i="707" l="1"/>
  <c r="F13" i="707" a="1"/>
  <c r="F13" i="707" s="1"/>
  <c r="F7" i="707" s="1"/>
  <c r="G13" i="707" a="1"/>
  <c r="G13" i="707" s="1"/>
  <c r="G7" i="707" s="1"/>
  <c r="H7" i="707"/>
  <c r="G17" i="707" a="1"/>
  <c r="G17" i="707" s="1"/>
  <c r="G10" i="707" s="1"/>
  <c r="G12" i="706" a="1"/>
  <c r="G12" i="706" s="1"/>
  <c r="G6" i="706" s="1"/>
  <c r="F7" i="706"/>
  <c r="G8" i="706"/>
  <c r="F8" i="705"/>
  <c r="G8" i="705"/>
  <c r="G6" i="705"/>
  <c r="F16" i="705" a="1"/>
  <c r="F16" i="705" s="1"/>
  <c r="F9" i="705" s="1"/>
  <c r="H16" i="705" a="1"/>
  <c r="H16" i="705" s="1"/>
  <c r="H9" i="705" s="1"/>
  <c r="F6" i="705"/>
  <c r="H12" i="705" a="1"/>
  <c r="H12" i="705" s="1"/>
  <c r="H6" i="705"/>
  <c r="F19" i="705"/>
  <c r="G10" i="705" s="1"/>
  <c r="H12" i="742"/>
  <c r="F20" i="707" l="1"/>
  <c r="G6" i="707" s="1"/>
  <c r="G23" i="707"/>
  <c r="G22" i="707"/>
  <c r="G11" i="707"/>
  <c r="F22" i="707"/>
  <c r="H11" i="707"/>
  <c r="F11" i="707"/>
  <c r="F6" i="707"/>
  <c r="H6" i="707"/>
  <c r="F19" i="706"/>
  <c r="G10" i="706" s="1"/>
  <c r="F10" i="706"/>
  <c r="G5" i="706"/>
  <c r="H5" i="705"/>
  <c r="F5" i="705"/>
  <c r="H10" i="705"/>
  <c r="G5" i="705"/>
  <c r="F10" i="705"/>
  <c r="B11" i="744"/>
  <c r="H10" i="706" l="1"/>
  <c r="F5" i="706"/>
  <c r="H5" i="706"/>
  <c r="AF21" i="743"/>
  <c r="AE21" i="743"/>
  <c r="AF20" i="743"/>
  <c r="AE20" i="743"/>
  <c r="AF19" i="743"/>
  <c r="AE19" i="743"/>
  <c r="AJ18" i="743"/>
  <c r="AI18" i="743"/>
  <c r="AF18" i="743"/>
  <c r="AE18" i="743"/>
  <c r="AF17" i="743"/>
  <c r="AE17" i="743"/>
  <c r="AJ16" i="743"/>
  <c r="AI16" i="743"/>
  <c r="AF16" i="743"/>
  <c r="AF14" i="743" s="1"/>
  <c r="AE16" i="743"/>
  <c r="R16" i="743"/>
  <c r="AJ15" i="743"/>
  <c r="AJ8" i="743" s="1"/>
  <c r="AI15" i="743"/>
  <c r="AF15" i="743"/>
  <c r="AE15" i="743"/>
  <c r="AE14" i="743" s="1"/>
  <c r="AJ14" i="743"/>
  <c r="AJ17" i="743" s="1" a="1"/>
  <c r="AJ17" i="743" s="1"/>
  <c r="AJ10" i="743" s="1"/>
  <c r="AI14" i="743"/>
  <c r="AJ13" i="743" a="1"/>
  <c r="AJ13" i="743" s="1"/>
  <c r="AF13" i="743"/>
  <c r="AE13" i="743"/>
  <c r="AF12" i="743"/>
  <c r="AE12" i="743"/>
  <c r="AU11" i="743"/>
  <c r="AW11" i="743" s="1"/>
  <c r="AP11" i="743"/>
  <c r="AP12" i="743" s="1"/>
  <c r="AR12" i="743" s="1"/>
  <c r="AF11" i="743"/>
  <c r="AE11" i="743"/>
  <c r="AF10" i="743"/>
  <c r="AE10" i="743"/>
  <c r="AJ9" i="743"/>
  <c r="AF9" i="743"/>
  <c r="AE9" i="743"/>
  <c r="AF8" i="743"/>
  <c r="AE8" i="743"/>
  <c r="P8" i="743"/>
  <c r="O8" i="743"/>
  <c r="N8" i="743"/>
  <c r="M8" i="743"/>
  <c r="I8" i="743"/>
  <c r="H8" i="743"/>
  <c r="AV7" i="743"/>
  <c r="AQ7" i="743"/>
  <c r="AF7" i="743"/>
  <c r="AE7" i="743"/>
  <c r="Z7" i="743"/>
  <c r="Y7" i="743"/>
  <c r="P7" i="743"/>
  <c r="O7" i="743"/>
  <c r="N7" i="743"/>
  <c r="P13" i="743" s="1"/>
  <c r="M7" i="743"/>
  <c r="AV6" i="743"/>
  <c r="AQ6" i="743"/>
  <c r="AF6" i="743"/>
  <c r="AE6" i="743"/>
  <c r="Z6" i="743"/>
  <c r="Y6" i="743"/>
  <c r="I6" i="743"/>
  <c r="H6" i="743"/>
  <c r="AV5" i="743"/>
  <c r="AW5" i="743" s="1"/>
  <c r="AW10" i="743" s="1"/>
  <c r="AQ5" i="743"/>
  <c r="AR5" i="743" s="1"/>
  <c r="AR10" i="743" s="1"/>
  <c r="AN5" i="743"/>
  <c r="AM5" i="743"/>
  <c r="AJ5" i="743"/>
  <c r="AI5" i="743"/>
  <c r="AF5" i="743"/>
  <c r="AE5" i="743"/>
  <c r="Z5" i="743"/>
  <c r="Y5" i="743"/>
  <c r="I5" i="743"/>
  <c r="H5" i="743"/>
  <c r="I4" i="743"/>
  <c r="I7" i="743" s="1"/>
  <c r="H4" i="743"/>
  <c r="H7" i="743" s="1"/>
  <c r="AD22" i="742"/>
  <c r="AC22" i="742"/>
  <c r="AD21" i="742"/>
  <c r="AC21" i="742"/>
  <c r="AD20" i="742"/>
  <c r="AC20" i="742"/>
  <c r="AH19" i="742"/>
  <c r="AG19" i="742"/>
  <c r="AD19" i="742"/>
  <c r="AC19" i="742"/>
  <c r="AD18" i="742"/>
  <c r="AC18" i="742"/>
  <c r="AH17" i="742"/>
  <c r="AG17" i="742"/>
  <c r="AD17" i="742"/>
  <c r="AC17" i="742"/>
  <c r="AH16" i="742"/>
  <c r="AH10" i="742" s="1"/>
  <c r="AG16" i="742"/>
  <c r="AD16" i="742"/>
  <c r="AC16" i="742"/>
  <c r="AH15" i="742"/>
  <c r="AH9" i="742" s="1"/>
  <c r="AG15" i="742"/>
  <c r="AG14" i="742" s="1" a="1"/>
  <c r="AG14" i="742" s="1"/>
  <c r="AD15" i="742"/>
  <c r="AC15" i="742"/>
  <c r="R15" i="742"/>
  <c r="AD14" i="742"/>
  <c r="AC14" i="742"/>
  <c r="AD13" i="742"/>
  <c r="AC13" i="742"/>
  <c r="AS12" i="742"/>
  <c r="AS13" i="742" s="1"/>
  <c r="AN12" i="742"/>
  <c r="AN13" i="742" s="1"/>
  <c r="AD12" i="742"/>
  <c r="AC12" i="742"/>
  <c r="AD11" i="742"/>
  <c r="AC11" i="742"/>
  <c r="AG10" i="742"/>
  <c r="AD10" i="742"/>
  <c r="AC10" i="742"/>
  <c r="AG9" i="742"/>
  <c r="AD9" i="742"/>
  <c r="AC9" i="742"/>
  <c r="AT8" i="742"/>
  <c r="AO8" i="742"/>
  <c r="AD8" i="742"/>
  <c r="AC8" i="742"/>
  <c r="I8" i="742"/>
  <c r="H8" i="742"/>
  <c r="AT7" i="742"/>
  <c r="AO7" i="742"/>
  <c r="AD7" i="742"/>
  <c r="AC7" i="742"/>
  <c r="P7" i="742"/>
  <c r="O7" i="742"/>
  <c r="N7" i="742"/>
  <c r="N17" i="742" s="1"/>
  <c r="N18" i="742" s="1"/>
  <c r="M7" i="742"/>
  <c r="AT6" i="742"/>
  <c r="AU6" i="742" s="1"/>
  <c r="AU11" i="742" s="1"/>
  <c r="AO6" i="742"/>
  <c r="AP6" i="742" s="1"/>
  <c r="AP11" i="742" s="1"/>
  <c r="AL6" i="742"/>
  <c r="AK6" i="742"/>
  <c r="AH6" i="742"/>
  <c r="AG6" i="742"/>
  <c r="AD6" i="742"/>
  <c r="AC6" i="742"/>
  <c r="Z6" i="742"/>
  <c r="Y6" i="742"/>
  <c r="P6" i="742"/>
  <c r="O6" i="742"/>
  <c r="N6" i="742"/>
  <c r="M6" i="742"/>
  <c r="I6" i="742"/>
  <c r="H6" i="742"/>
  <c r="Z5" i="742"/>
  <c r="Y5" i="742"/>
  <c r="I5" i="742"/>
  <c r="H5" i="742"/>
  <c r="Z4" i="742"/>
  <c r="Y4" i="742"/>
  <c r="I4" i="742"/>
  <c r="I7" i="742" s="1"/>
  <c r="H4" i="742"/>
  <c r="H7" i="742" s="1"/>
  <c r="AU12" i="743" l="1"/>
  <c r="AU13" i="743" s="1"/>
  <c r="AW13" i="743" s="1"/>
  <c r="P12" i="742"/>
  <c r="Q8" i="742"/>
  <c r="P8" i="742"/>
  <c r="N12" i="742" s="1"/>
  <c r="N13" i="742" s="1"/>
  <c r="AP12" i="742"/>
  <c r="H12" i="743"/>
  <c r="AG18" i="742" a="1"/>
  <c r="AG18" i="742" s="1"/>
  <c r="AG11" i="742" s="1"/>
  <c r="P18" i="743"/>
  <c r="AH18" i="742" a="1"/>
  <c r="AH18" i="742" s="1"/>
  <c r="AH11" i="742" s="1"/>
  <c r="AR11" i="743"/>
  <c r="AI13" i="743" a="1"/>
  <c r="AI13" i="743" s="1"/>
  <c r="AI8" i="743"/>
  <c r="AV17" i="742"/>
  <c r="AV13" i="742"/>
  <c r="AV20" i="742"/>
  <c r="AV16" i="742"/>
  <c r="AV12" i="742"/>
  <c r="AV19" i="742"/>
  <c r="AV15" i="742"/>
  <c r="AV11" i="742"/>
  <c r="AV18" i="742"/>
  <c r="AV14" i="742"/>
  <c r="AK10" i="742"/>
  <c r="AN9" i="743"/>
  <c r="AK17" i="742"/>
  <c r="AL10" i="742"/>
  <c r="AQ19" i="742"/>
  <c r="AQ15" i="742"/>
  <c r="AQ11" i="742"/>
  <c r="AQ17" i="742"/>
  <c r="AQ13" i="742"/>
  <c r="AQ18" i="742"/>
  <c r="AQ14" i="742"/>
  <c r="AQ21" i="742"/>
  <c r="AQ20" i="742"/>
  <c r="AQ16" i="742"/>
  <c r="AQ12" i="742"/>
  <c r="AN16" i="743"/>
  <c r="Y26" i="743"/>
  <c r="Z25" i="743"/>
  <c r="Z26" i="743" s="1"/>
  <c r="AL17" i="742"/>
  <c r="AX19" i="743"/>
  <c r="AX15" i="743"/>
  <c r="AX11" i="743"/>
  <c r="AX18" i="743"/>
  <c r="AX14" i="743"/>
  <c r="AX10" i="743"/>
  <c r="AX17" i="743"/>
  <c r="AX13" i="743"/>
  <c r="AX12" i="743"/>
  <c r="AX16" i="743"/>
  <c r="Z24" i="742"/>
  <c r="Z25" i="742" s="1"/>
  <c r="Y25" i="742"/>
  <c r="AM9" i="743"/>
  <c r="AS17" i="743"/>
  <c r="AS13" i="743"/>
  <c r="AS20" i="743"/>
  <c r="AS16" i="743"/>
  <c r="AS12" i="743"/>
  <c r="AS19" i="743"/>
  <c r="AS15" i="743"/>
  <c r="AS11" i="743"/>
  <c r="AS10" i="743"/>
  <c r="AS18" i="743"/>
  <c r="AS14" i="743"/>
  <c r="AM16" i="743"/>
  <c r="R12" i="742"/>
  <c r="P13" i="742"/>
  <c r="R13" i="742" s="1"/>
  <c r="S13" i="742" s="1"/>
  <c r="H15" i="742"/>
  <c r="AU13" i="742"/>
  <c r="AU12" i="742"/>
  <c r="AG8" i="742"/>
  <c r="AG21" i="742"/>
  <c r="AH12" i="742" s="1"/>
  <c r="Y13" i="742"/>
  <c r="Z8" i="742"/>
  <c r="Y8" i="742"/>
  <c r="AS14" i="742"/>
  <c r="AI20" i="743"/>
  <c r="AI11" i="743" s="1"/>
  <c r="AI7" i="743"/>
  <c r="N18" i="743"/>
  <c r="N19" i="743" s="1"/>
  <c r="AN14" i="742"/>
  <c r="AP13" i="742"/>
  <c r="Y14" i="743"/>
  <c r="Z9" i="743"/>
  <c r="AI9" i="743"/>
  <c r="AJ7" i="743"/>
  <c r="AU14" i="743"/>
  <c r="O17" i="742"/>
  <c r="P17" i="742"/>
  <c r="AH14" i="742" a="1"/>
  <c r="AH14" i="742" s="1"/>
  <c r="P14" i="743"/>
  <c r="R14" i="743" s="1"/>
  <c r="S14" i="743" s="1"/>
  <c r="R13" i="743"/>
  <c r="Y9" i="743"/>
  <c r="AW12" i="743"/>
  <c r="AP13" i="743"/>
  <c r="O18" i="743"/>
  <c r="P9" i="743"/>
  <c r="N13" i="743" s="1"/>
  <c r="N14" i="743" s="1"/>
  <c r="O13" i="743"/>
  <c r="AI17" i="743" a="1"/>
  <c r="AI17" i="743" s="1"/>
  <c r="AI10" i="743" s="1"/>
  <c r="Q9" i="743"/>
  <c r="E9" i="739"/>
  <c r="E11" i="739" s="1"/>
  <c r="E5" i="739"/>
  <c r="E7" i="739"/>
  <c r="E6" i="739"/>
  <c r="E10" i="739" s="1"/>
  <c r="E12" i="739" s="1"/>
  <c r="E4" i="739"/>
  <c r="Y13" i="743" l="1"/>
  <c r="Y23" i="743" s="1"/>
  <c r="E13" i="739"/>
  <c r="P19" i="743"/>
  <c r="O12" i="742"/>
  <c r="U18" i="743"/>
  <c r="U17" i="742"/>
  <c r="I9" i="742"/>
  <c r="AJ11" i="743"/>
  <c r="T14" i="743"/>
  <c r="AP14" i="742"/>
  <c r="AN15" i="742"/>
  <c r="I9" i="743"/>
  <c r="I10" i="743" s="1"/>
  <c r="V13" i="743"/>
  <c r="V14" i="743" s="1"/>
  <c r="O14" i="743"/>
  <c r="Q14" i="743" s="1"/>
  <c r="U14" i="743" s="1"/>
  <c r="Q13" i="743"/>
  <c r="U13" i="743" s="1"/>
  <c r="AR13" i="743"/>
  <c r="AP14" i="743"/>
  <c r="O18" i="742"/>
  <c r="V17" i="742"/>
  <c r="V18" i="742" s="1"/>
  <c r="AH8" i="742"/>
  <c r="AH7" i="742"/>
  <c r="AJ6" i="743"/>
  <c r="AU14" i="742"/>
  <c r="AS15" i="742"/>
  <c r="AG7" i="742"/>
  <c r="H9" i="743"/>
  <c r="H10" i="743" s="1"/>
  <c r="AU15" i="743"/>
  <c r="AW14" i="743"/>
  <c r="AG12" i="742"/>
  <c r="AI6" i="743"/>
  <c r="T13" i="742"/>
  <c r="V18" i="743"/>
  <c r="V19" i="743" s="1"/>
  <c r="O19" i="743"/>
  <c r="P18" i="742"/>
  <c r="Y12" i="742"/>
  <c r="H9" i="742"/>
  <c r="Y4" i="693"/>
  <c r="Y3" i="693"/>
  <c r="Z23" i="743" l="1"/>
  <c r="T19" i="743"/>
  <c r="S19" i="743"/>
  <c r="V12" i="742"/>
  <c r="V13" i="742" s="1"/>
  <c r="Q12" i="742"/>
  <c r="U12" i="742" s="1"/>
  <c r="O13" i="742"/>
  <c r="Q13" i="742" s="1"/>
  <c r="U13" i="742" s="1"/>
  <c r="H11" i="742"/>
  <c r="H13" i="742" s="1"/>
  <c r="H14" i="742" s="1"/>
  <c r="H16" i="742" s="1"/>
  <c r="Z18" i="743"/>
  <c r="Y18" i="743"/>
  <c r="Y16" i="743"/>
  <c r="U19" i="743"/>
  <c r="S18" i="742"/>
  <c r="T18" i="742"/>
  <c r="U18" i="742"/>
  <c r="Y17" i="742"/>
  <c r="Z17" i="742"/>
  <c r="AP15" i="743"/>
  <c r="AR14" i="743"/>
  <c r="AU15" i="742"/>
  <c r="AS16" i="742"/>
  <c r="AP15" i="742"/>
  <c r="AN16" i="742"/>
  <c r="H15" i="743"/>
  <c r="H13" i="743"/>
  <c r="H14" i="743" s="1"/>
  <c r="Y15" i="742"/>
  <c r="Z22" i="742"/>
  <c r="Y22" i="742"/>
  <c r="AW15" i="743"/>
  <c r="AU16" i="743"/>
  <c r="Y5" i="693"/>
  <c r="Y7" i="693" s="1"/>
  <c r="Y6" i="693" s="1"/>
  <c r="AE6" i="738"/>
  <c r="AE5" i="738"/>
  <c r="Y16" i="738"/>
  <c r="W8" i="738"/>
  <c r="V8" i="738"/>
  <c r="U8" i="738"/>
  <c r="W7" i="738"/>
  <c r="W18" i="738" s="1"/>
  <c r="W19" i="738" s="1"/>
  <c r="V7" i="738"/>
  <c r="U7" i="738"/>
  <c r="W13" i="738" s="1"/>
  <c r="T8" i="738"/>
  <c r="T7" i="738"/>
  <c r="Y13" i="738" l="1"/>
  <c r="W14" i="738"/>
  <c r="Y14" i="738" s="1"/>
  <c r="Z14" i="738" s="1"/>
  <c r="V13" i="738"/>
  <c r="U18" i="738"/>
  <c r="U19" i="738" s="1"/>
  <c r="AA19" i="738" s="1"/>
  <c r="W9" i="738"/>
  <c r="U13" i="738" s="1"/>
  <c r="U14" i="738" s="1"/>
  <c r="AN17" i="742"/>
  <c r="AP16" i="742"/>
  <c r="Y17" i="743"/>
  <c r="Y19" i="743"/>
  <c r="AU17" i="743"/>
  <c r="AW16" i="743"/>
  <c r="Y18" i="742"/>
  <c r="Y16" i="742"/>
  <c r="AR15" i="743"/>
  <c r="AP16" i="743"/>
  <c r="H16" i="743"/>
  <c r="AS17" i="742"/>
  <c r="AU16" i="742"/>
  <c r="Z19" i="738"/>
  <c r="M14" i="738"/>
  <c r="M13" i="738" s="1" a="1"/>
  <c r="M13" i="738" s="1"/>
  <c r="M15" i="738"/>
  <c r="M8" i="738" s="1"/>
  <c r="M16" i="738"/>
  <c r="M18" i="738"/>
  <c r="L18" i="738"/>
  <c r="L16" i="738"/>
  <c r="L15" i="738"/>
  <c r="L8" i="738" s="1"/>
  <c r="L14" i="738"/>
  <c r="M5" i="738"/>
  <c r="L5" i="738"/>
  <c r="B18" i="738"/>
  <c r="A18" i="738"/>
  <c r="B17" i="738"/>
  <c r="A17" i="738"/>
  <c r="B16" i="738"/>
  <c r="A16" i="738"/>
  <c r="B5" i="737"/>
  <c r="C5" i="737" s="1"/>
  <c r="B4" i="737"/>
  <c r="C4" i="737" s="1"/>
  <c r="B3" i="737"/>
  <c r="M7" i="738" l="1"/>
  <c r="V18" i="738"/>
  <c r="L9" i="738"/>
  <c r="AA14" i="738"/>
  <c r="L13" i="738" a="1"/>
  <c r="L13" i="738" s="1"/>
  <c r="M17" i="738" a="1"/>
  <c r="M17" i="738" s="1"/>
  <c r="M10" i="738" s="1"/>
  <c r="M9" i="738"/>
  <c r="X13" i="738"/>
  <c r="AB13" i="738" s="1"/>
  <c r="AC13" i="738"/>
  <c r="AC14" i="738" s="1"/>
  <c r="V14" i="738"/>
  <c r="X14" i="738" s="1"/>
  <c r="AB14" i="738" s="1"/>
  <c r="L17" i="738" a="1"/>
  <c r="L17" i="738" s="1"/>
  <c r="L10" i="738" s="1"/>
  <c r="X9" i="738"/>
  <c r="Y20" i="743"/>
  <c r="Z19" i="743"/>
  <c r="Z20" i="743" s="1"/>
  <c r="Z18" i="742"/>
  <c r="Z19" i="742" s="1"/>
  <c r="Y19" i="742"/>
  <c r="AP17" i="743"/>
  <c r="AR16" i="743"/>
  <c r="AU17" i="742"/>
  <c r="AS18" i="742"/>
  <c r="AW17" i="743"/>
  <c r="AU18" i="743"/>
  <c r="AN18" i="742"/>
  <c r="AP17" i="742"/>
  <c r="B8" i="737"/>
  <c r="C3" i="737"/>
  <c r="C8" i="737"/>
  <c r="O20" i="736"/>
  <c r="N20" i="736"/>
  <c r="M9" i="736"/>
  <c r="M10" i="736" s="1"/>
  <c r="Q8" i="736"/>
  <c r="B8" i="736"/>
  <c r="A8" i="736"/>
  <c r="A9" i="736" s="1"/>
  <c r="C7" i="736"/>
  <c r="B7" i="736"/>
  <c r="AB18" i="738" l="1"/>
  <c r="L20" i="738"/>
  <c r="L7" i="738"/>
  <c r="V19" i="738"/>
  <c r="AC18" i="738"/>
  <c r="AC19" i="738" s="1"/>
  <c r="AP18" i="742"/>
  <c r="AN19" i="742"/>
  <c r="AU18" i="742"/>
  <c r="AS19" i="742"/>
  <c r="AU19" i="743"/>
  <c r="AW19" i="743" s="1"/>
  <c r="AW18" i="743"/>
  <c r="AR17" i="743"/>
  <c r="AP18" i="743"/>
  <c r="S7" i="736"/>
  <c r="C9" i="736"/>
  <c r="A10" i="736"/>
  <c r="B9" i="736"/>
  <c r="M11" i="736"/>
  <c r="C8" i="736"/>
  <c r="Q9" i="736"/>
  <c r="B15" i="735"/>
  <c r="B14" i="735"/>
  <c r="B13" i="735"/>
  <c r="B12" i="735"/>
  <c r="E10" i="735"/>
  <c r="B11" i="735"/>
  <c r="E9" i="735"/>
  <c r="B10" i="735"/>
  <c r="E8" i="735"/>
  <c r="B9" i="735"/>
  <c r="B8" i="735"/>
  <c r="B7" i="735"/>
  <c r="B6" i="735"/>
  <c r="B5" i="735"/>
  <c r="B4" i="735"/>
  <c r="D18" i="734"/>
  <c r="D17" i="734"/>
  <c r="D16" i="734"/>
  <c r="D20" i="734" s="1"/>
  <c r="E14" i="734"/>
  <c r="F14" i="734" s="1"/>
  <c r="G14" i="734" s="1"/>
  <c r="H14" i="734" s="1"/>
  <c r="I14" i="734" s="1"/>
  <c r="J14" i="734" s="1"/>
  <c r="D11" i="734"/>
  <c r="D19" i="734" s="1"/>
  <c r="D10" i="734"/>
  <c r="D9" i="734"/>
  <c r="B7" i="733"/>
  <c r="B5" i="733"/>
  <c r="D4" i="733"/>
  <c r="D5" i="733" s="1"/>
  <c r="D6" i="733" s="1"/>
  <c r="D7" i="733" s="1"/>
  <c r="D8" i="733" s="1"/>
  <c r="D9" i="733" s="1"/>
  <c r="D10" i="733" s="1"/>
  <c r="D11" i="733" s="1"/>
  <c r="D12" i="733" s="1"/>
  <c r="D13" i="733" s="1"/>
  <c r="D14" i="733" s="1"/>
  <c r="D15" i="733" s="1"/>
  <c r="D16" i="733" s="1"/>
  <c r="D17" i="733" s="1"/>
  <c r="D18" i="733" s="1"/>
  <c r="D19" i="733" s="1"/>
  <c r="D20" i="733" s="1"/>
  <c r="D21" i="733" s="1"/>
  <c r="D22" i="733" s="1"/>
  <c r="D23" i="733" s="1"/>
  <c r="D24" i="733" s="1"/>
  <c r="D25" i="733" s="1"/>
  <c r="D26" i="733" s="1"/>
  <c r="D27" i="733" s="1"/>
  <c r="D28" i="733" s="1"/>
  <c r="D29" i="733" s="1"/>
  <c r="D30" i="733" s="1"/>
  <c r="D31" i="733" s="1"/>
  <c r="D32" i="733" s="1"/>
  <c r="D33" i="733" s="1"/>
  <c r="D34" i="733" s="1"/>
  <c r="D35" i="733" s="1"/>
  <c r="D36" i="733" s="1"/>
  <c r="D37" i="733" s="1"/>
  <c r="D38" i="733" s="1"/>
  <c r="D39" i="733" s="1"/>
  <c r="D40" i="733" s="1"/>
  <c r="D41" i="733" s="1"/>
  <c r="D42" i="733" s="1"/>
  <c r="D43" i="733" s="1"/>
  <c r="D44" i="733" s="1"/>
  <c r="D45" i="733" s="1"/>
  <c r="D46" i="733" s="1"/>
  <c r="D47" i="733" s="1"/>
  <c r="D48" i="733" s="1"/>
  <c r="D49" i="733" s="1"/>
  <c r="D50" i="733" s="1"/>
  <c r="D51" i="733" s="1"/>
  <c r="D52" i="733" s="1"/>
  <c r="D53" i="733" s="1"/>
  <c r="D54" i="733" s="1"/>
  <c r="D55" i="733" s="1"/>
  <c r="D56" i="733" s="1"/>
  <c r="D57" i="733" s="1"/>
  <c r="D58" i="733" s="1"/>
  <c r="D59" i="733" s="1"/>
  <c r="D60" i="733" s="1"/>
  <c r="D61" i="733" s="1"/>
  <c r="D62" i="733" s="1"/>
  <c r="D63" i="733" s="1"/>
  <c r="D64" i="733" s="1"/>
  <c r="D65" i="733" s="1"/>
  <c r="D66" i="733" s="1"/>
  <c r="D67" i="733" s="1"/>
  <c r="D68" i="733" s="1"/>
  <c r="D69" i="733" s="1"/>
  <c r="D70" i="733" s="1"/>
  <c r="D71" i="733" s="1"/>
  <c r="D72" i="733" s="1"/>
  <c r="D73" i="733" s="1"/>
  <c r="D74" i="733" s="1"/>
  <c r="D75" i="733" s="1"/>
  <c r="D76" i="733" s="1"/>
  <c r="D77" i="733" s="1"/>
  <c r="D78" i="733" s="1"/>
  <c r="D79" i="733" s="1"/>
  <c r="D80" i="733" s="1"/>
  <c r="D81" i="733" s="1"/>
  <c r="D82" i="733" s="1"/>
  <c r="D83" i="733" s="1"/>
  <c r="D84" i="733" s="1"/>
  <c r="D85" i="733" s="1"/>
  <c r="D86" i="733" s="1"/>
  <c r="D87" i="733" s="1"/>
  <c r="D88" i="733" s="1"/>
  <c r="D89" i="733" s="1"/>
  <c r="D90" i="733" s="1"/>
  <c r="D91" i="733" s="1"/>
  <c r="D92" i="733" s="1"/>
  <c r="D93" i="733" s="1"/>
  <c r="D94" i="733" s="1"/>
  <c r="D95" i="733" s="1"/>
  <c r="D96" i="733" s="1"/>
  <c r="D97" i="733" s="1"/>
  <c r="D98" i="733" s="1"/>
  <c r="D99" i="733" s="1"/>
  <c r="D100" i="733" s="1"/>
  <c r="D101" i="733" s="1"/>
  <c r="D102" i="733" s="1"/>
  <c r="D103" i="733" s="1"/>
  <c r="D104" i="733" s="1"/>
  <c r="D105" i="733" s="1"/>
  <c r="D106" i="733" s="1"/>
  <c r="D107" i="733" s="1"/>
  <c r="D108" i="733" s="1"/>
  <c r="D109" i="733" s="1"/>
  <c r="D110" i="733" s="1"/>
  <c r="D111" i="733" s="1"/>
  <c r="D112" i="733" s="1"/>
  <c r="D113" i="733" s="1"/>
  <c r="D114" i="733" s="1"/>
  <c r="D115" i="733" s="1"/>
  <c r="D116" i="733" s="1"/>
  <c r="D117" i="733" s="1"/>
  <c r="D118" i="733" s="1"/>
  <c r="D119" i="733" s="1"/>
  <c r="D120" i="733" s="1"/>
  <c r="D121" i="733" s="1"/>
  <c r="D122" i="733" s="1"/>
  <c r="D123" i="733" s="1"/>
  <c r="D124" i="733" s="1"/>
  <c r="D125" i="733" s="1"/>
  <c r="D126" i="733" s="1"/>
  <c r="D127" i="733" s="1"/>
  <c r="D128" i="733" s="1"/>
  <c r="D129" i="733" s="1"/>
  <c r="D130" i="733" s="1"/>
  <c r="D131" i="733" s="1"/>
  <c r="D132" i="733" s="1"/>
  <c r="D133" i="733" s="1"/>
  <c r="D134" i="733" s="1"/>
  <c r="D135" i="733" s="1"/>
  <c r="D136" i="733" s="1"/>
  <c r="D137" i="733" s="1"/>
  <c r="D138" i="733" s="1"/>
  <c r="D139" i="733" s="1"/>
  <c r="D140" i="733" s="1"/>
  <c r="D141" i="733" s="1"/>
  <c r="D142" i="733" s="1"/>
  <c r="D143" i="733" s="1"/>
  <c r="D144" i="733" s="1"/>
  <c r="D145" i="733" s="1"/>
  <c r="D146" i="733" s="1"/>
  <c r="D147" i="733" s="1"/>
  <c r="D148" i="733" s="1"/>
  <c r="D149" i="733" s="1"/>
  <c r="D150" i="733" s="1"/>
  <c r="D151" i="733" s="1"/>
  <c r="D152" i="733" s="1"/>
  <c r="D153" i="733" s="1"/>
  <c r="D154" i="733" s="1"/>
  <c r="D155" i="733" s="1"/>
  <c r="D156" i="733" s="1"/>
  <c r="D157" i="733" s="1"/>
  <c r="D158" i="733" s="1"/>
  <c r="D159" i="733" s="1"/>
  <c r="D160" i="733" s="1"/>
  <c r="D161" i="733" s="1"/>
  <c r="D162" i="733" s="1"/>
  <c r="D163" i="733" s="1"/>
  <c r="D164" i="733" s="1"/>
  <c r="D165" i="733" s="1"/>
  <c r="D166" i="733" s="1"/>
  <c r="D167" i="733" s="1"/>
  <c r="D168" i="733" s="1"/>
  <c r="D169" i="733" s="1"/>
  <c r="D170" i="733" s="1"/>
  <c r="D171" i="733" s="1"/>
  <c r="D172" i="733" s="1"/>
  <c r="D173" i="733" s="1"/>
  <c r="D174" i="733" s="1"/>
  <c r="D175" i="733" s="1"/>
  <c r="D176" i="733" s="1"/>
  <c r="D177" i="733" s="1"/>
  <c r="D178" i="733" s="1"/>
  <c r="D179" i="733" s="1"/>
  <c r="D180" i="733" s="1"/>
  <c r="D181" i="733" s="1"/>
  <c r="D182" i="733" s="1"/>
  <c r="D183" i="733" s="1"/>
  <c r="D184" i="733" s="1"/>
  <c r="D185" i="733" s="1"/>
  <c r="D186" i="733" s="1"/>
  <c r="D187" i="733" s="1"/>
  <c r="D188" i="733" s="1"/>
  <c r="D189" i="733" s="1"/>
  <c r="D190" i="733" s="1"/>
  <c r="D191" i="733" s="1"/>
  <c r="D192" i="733" s="1"/>
  <c r="D193" i="733" s="1"/>
  <c r="D194" i="733" s="1"/>
  <c r="D195" i="733" s="1"/>
  <c r="D196" i="733" s="1"/>
  <c r="D197" i="733" s="1"/>
  <c r="D198" i="733" s="1"/>
  <c r="D199" i="733" s="1"/>
  <c r="D200" i="733" s="1"/>
  <c r="D201" i="733" s="1"/>
  <c r="D202" i="733" s="1"/>
  <c r="D203" i="733" s="1"/>
  <c r="D204" i="733" s="1"/>
  <c r="D205" i="733" s="1"/>
  <c r="D206" i="733" s="1"/>
  <c r="D207" i="733" s="1"/>
  <c r="D208" i="733" s="1"/>
  <c r="D209" i="733" s="1"/>
  <c r="D210" i="733" s="1"/>
  <c r="D211" i="733" s="1"/>
  <c r="D212" i="733" s="1"/>
  <c r="D213" i="733" s="1"/>
  <c r="D214" i="733" s="1"/>
  <c r="D215" i="733" s="1"/>
  <c r="D216" i="733" s="1"/>
  <c r="D217" i="733" s="1"/>
  <c r="D218" i="733" s="1"/>
  <c r="D219" i="733" s="1"/>
  <c r="D220" i="733" s="1"/>
  <c r="D221" i="733" s="1"/>
  <c r="D222" i="733" s="1"/>
  <c r="D223" i="733" s="1"/>
  <c r="D224" i="733" s="1"/>
  <c r="D225" i="733" s="1"/>
  <c r="D226" i="733" s="1"/>
  <c r="D227" i="733" s="1"/>
  <c r="D228" i="733" s="1"/>
  <c r="D229" i="733" s="1"/>
  <c r="D230" i="733" s="1"/>
  <c r="D231" i="733" s="1"/>
  <c r="D232" i="733" s="1"/>
  <c r="D233" i="733" s="1"/>
  <c r="D234" i="733" s="1"/>
  <c r="D235" i="733" s="1"/>
  <c r="D236" i="733" s="1"/>
  <c r="D237" i="733" s="1"/>
  <c r="D238" i="733" s="1"/>
  <c r="D239" i="733" s="1"/>
  <c r="D240" i="733" s="1"/>
  <c r="D241" i="733" s="1"/>
  <c r="D242" i="733" s="1"/>
  <c r="D243" i="733" s="1"/>
  <c r="D244" i="733" s="1"/>
  <c r="D245" i="733" s="1"/>
  <c r="D246" i="733" s="1"/>
  <c r="D247" i="733" s="1"/>
  <c r="D248" i="733" s="1"/>
  <c r="D249" i="733" s="1"/>
  <c r="D250" i="733" s="1"/>
  <c r="D251" i="733" s="1"/>
  <c r="D252" i="733" s="1"/>
  <c r="D253" i="733" s="1"/>
  <c r="D254" i="733" s="1"/>
  <c r="D255" i="733" s="1"/>
  <c r="D256" i="733" s="1"/>
  <c r="D257" i="733" s="1"/>
  <c r="D258" i="733" s="1"/>
  <c r="D259" i="733" s="1"/>
  <c r="D260" i="733" s="1"/>
  <c r="D261" i="733" s="1"/>
  <c r="D262" i="733" s="1"/>
  <c r="D263" i="733" s="1"/>
  <c r="D264" i="733" s="1"/>
  <c r="D265" i="733" s="1"/>
  <c r="D266" i="733" s="1"/>
  <c r="D267" i="733" s="1"/>
  <c r="D268" i="733" s="1"/>
  <c r="D269" i="733" s="1"/>
  <c r="D270" i="733" s="1"/>
  <c r="D271" i="733" s="1"/>
  <c r="D272" i="733" s="1"/>
  <c r="D273" i="733" s="1"/>
  <c r="D274" i="733" s="1"/>
  <c r="D275" i="733" s="1"/>
  <c r="D276" i="733" s="1"/>
  <c r="D277" i="733" s="1"/>
  <c r="D278" i="733" s="1"/>
  <c r="D279" i="733" s="1"/>
  <c r="D280" i="733" s="1"/>
  <c r="D281" i="733" s="1"/>
  <c r="D282" i="733" s="1"/>
  <c r="D283" i="733" s="1"/>
  <c r="D284" i="733" s="1"/>
  <c r="D285" i="733" s="1"/>
  <c r="D286" i="733" s="1"/>
  <c r="D287" i="733" s="1"/>
  <c r="D288" i="733" s="1"/>
  <c r="D289" i="733" s="1"/>
  <c r="D290" i="733" s="1"/>
  <c r="D291" i="733" s="1"/>
  <c r="D292" i="733" s="1"/>
  <c r="D293" i="733" s="1"/>
  <c r="D294" i="733" s="1"/>
  <c r="D295" i="733" s="1"/>
  <c r="D296" i="733" s="1"/>
  <c r="D297" i="733" s="1"/>
  <c r="D298" i="733" s="1"/>
  <c r="D299" i="733" s="1"/>
  <c r="D300" i="733" s="1"/>
  <c r="D301" i="733" s="1"/>
  <c r="D302" i="733" s="1"/>
  <c r="D303" i="733" s="1"/>
  <c r="D304" i="733" s="1"/>
  <c r="D305" i="733" s="1"/>
  <c r="D306" i="733" s="1"/>
  <c r="D307" i="733" s="1"/>
  <c r="D308" i="733" s="1"/>
  <c r="D309" i="733" s="1"/>
  <c r="D310" i="733" s="1"/>
  <c r="D311" i="733" s="1"/>
  <c r="D312" i="733" s="1"/>
  <c r="D313" i="733" s="1"/>
  <c r="D314" i="733" s="1"/>
  <c r="D315" i="733" s="1"/>
  <c r="D316" i="733" s="1"/>
  <c r="D317" i="733" s="1"/>
  <c r="D318" i="733" s="1"/>
  <c r="D319" i="733" s="1"/>
  <c r="D320" i="733" s="1"/>
  <c r="D321" i="733" s="1"/>
  <c r="D322" i="733" s="1"/>
  <c r="D323" i="733" s="1"/>
  <c r="D324" i="733" s="1"/>
  <c r="D325" i="733" s="1"/>
  <c r="D326" i="733" s="1"/>
  <c r="D327" i="733" s="1"/>
  <c r="D328" i="733" s="1"/>
  <c r="D329" i="733" s="1"/>
  <c r="D330" i="733" s="1"/>
  <c r="D331" i="733" s="1"/>
  <c r="D332" i="733" s="1"/>
  <c r="D333" i="733" s="1"/>
  <c r="D334" i="733" s="1"/>
  <c r="D335" i="733" s="1"/>
  <c r="D336" i="733" s="1"/>
  <c r="D337" i="733" s="1"/>
  <c r="D338" i="733" s="1"/>
  <c r="D339" i="733" s="1"/>
  <c r="D340" i="733" s="1"/>
  <c r="D341" i="733" s="1"/>
  <c r="D342" i="733" s="1"/>
  <c r="D343" i="733" s="1"/>
  <c r="D344" i="733" s="1"/>
  <c r="D345" i="733" s="1"/>
  <c r="D346" i="733" s="1"/>
  <c r="D347" i="733" s="1"/>
  <c r="D348" i="733" s="1"/>
  <c r="D349" i="733" s="1"/>
  <c r="D350" i="733" s="1"/>
  <c r="D351" i="733" s="1"/>
  <c r="D352" i="733" s="1"/>
  <c r="D353" i="733" s="1"/>
  <c r="D354" i="733" s="1"/>
  <c r="D355" i="733" s="1"/>
  <c r="D356" i="733" s="1"/>
  <c r="D357" i="733" s="1"/>
  <c r="D358" i="733" s="1"/>
  <c r="D359" i="733" s="1"/>
  <c r="D360" i="733" s="1"/>
  <c r="D361" i="733" s="1"/>
  <c r="D362" i="733" s="1"/>
  <c r="D363" i="733" s="1"/>
  <c r="D364" i="733" s="1"/>
  <c r="D365" i="733" s="1"/>
  <c r="D366" i="733" s="1"/>
  <c r="D367" i="733" s="1"/>
  <c r="D368" i="733" s="1"/>
  <c r="D369" i="733" s="1"/>
  <c r="D370" i="733" s="1"/>
  <c r="D371" i="733" s="1"/>
  <c r="D372" i="733" s="1"/>
  <c r="D373" i="733" s="1"/>
  <c r="D374" i="733" s="1"/>
  <c r="D375" i="733" s="1"/>
  <c r="D376" i="733" s="1"/>
  <c r="D377" i="733" s="1"/>
  <c r="D378" i="733" s="1"/>
  <c r="D379" i="733" s="1"/>
  <c r="D380" i="733" s="1"/>
  <c r="D381" i="733" s="1"/>
  <c r="D382" i="733" s="1"/>
  <c r="D383" i="733" s="1"/>
  <c r="D384" i="733" s="1"/>
  <c r="D385" i="733" s="1"/>
  <c r="D386" i="733" s="1"/>
  <c r="D387" i="733" s="1"/>
  <c r="D388" i="733" s="1"/>
  <c r="D389" i="733" s="1"/>
  <c r="D390" i="733" s="1"/>
  <c r="D391" i="733" s="1"/>
  <c r="D392" i="733" s="1"/>
  <c r="D393" i="733" s="1"/>
  <c r="D394" i="733" s="1"/>
  <c r="D395" i="733" s="1"/>
  <c r="D396" i="733" s="1"/>
  <c r="D397" i="733" s="1"/>
  <c r="D398" i="733" s="1"/>
  <c r="D399" i="733" s="1"/>
  <c r="D400" i="733" s="1"/>
  <c r="D401" i="733" s="1"/>
  <c r="D402" i="733" s="1"/>
  <c r="D403" i="733" s="1"/>
  <c r="D404" i="733" s="1"/>
  <c r="D405" i="733" s="1"/>
  <c r="D406" i="733" s="1"/>
  <c r="D407" i="733" s="1"/>
  <c r="D408" i="733" s="1"/>
  <c r="D409" i="733" s="1"/>
  <c r="D410" i="733" s="1"/>
  <c r="D411" i="733" s="1"/>
  <c r="D412" i="733" s="1"/>
  <c r="D413" i="733" s="1"/>
  <c r="D414" i="733" s="1"/>
  <c r="D415" i="733" s="1"/>
  <c r="D416" i="733" s="1"/>
  <c r="D417" i="733" s="1"/>
  <c r="D418" i="733" s="1"/>
  <c r="D419" i="733" s="1"/>
  <c r="D420" i="733" s="1"/>
  <c r="D421" i="733" s="1"/>
  <c r="D422" i="733" s="1"/>
  <c r="D423" i="733" s="1"/>
  <c r="D424" i="733" s="1"/>
  <c r="D425" i="733" s="1"/>
  <c r="D426" i="733" s="1"/>
  <c r="D427" i="733" s="1"/>
  <c r="D428" i="733" s="1"/>
  <c r="D429" i="733" s="1"/>
  <c r="D430" i="733" s="1"/>
  <c r="D431" i="733" s="1"/>
  <c r="D432" i="733" s="1"/>
  <c r="D433" i="733" s="1"/>
  <c r="D434" i="733" s="1"/>
  <c r="D435" i="733" s="1"/>
  <c r="D436" i="733" s="1"/>
  <c r="D437" i="733" s="1"/>
  <c r="D438" i="733" s="1"/>
  <c r="D439" i="733" s="1"/>
  <c r="D440" i="733" s="1"/>
  <c r="D441" i="733" s="1"/>
  <c r="D442" i="733" s="1"/>
  <c r="D443" i="733" s="1"/>
  <c r="D444" i="733" s="1"/>
  <c r="D445" i="733" s="1"/>
  <c r="D446" i="733" s="1"/>
  <c r="D447" i="733" s="1"/>
  <c r="D448" i="733" s="1"/>
  <c r="D449" i="733" s="1"/>
  <c r="D450" i="733" s="1"/>
  <c r="D451" i="733" s="1"/>
  <c r="D452" i="733" s="1"/>
  <c r="D453" i="733" s="1"/>
  <c r="D454" i="733" s="1"/>
  <c r="D455" i="733" s="1"/>
  <c r="D456" i="733" s="1"/>
  <c r="D457" i="733" s="1"/>
  <c r="D458" i="733" s="1"/>
  <c r="D459" i="733" s="1"/>
  <c r="D460" i="733" s="1"/>
  <c r="D461" i="733" s="1"/>
  <c r="D462" i="733" s="1"/>
  <c r="D463" i="733" s="1"/>
  <c r="D464" i="733" s="1"/>
  <c r="D465" i="733" s="1"/>
  <c r="D466" i="733" s="1"/>
  <c r="D467" i="733" s="1"/>
  <c r="D468" i="733" s="1"/>
  <c r="D469" i="733" s="1"/>
  <c r="D470" i="733" s="1"/>
  <c r="D471" i="733" s="1"/>
  <c r="D472" i="733" s="1"/>
  <c r="D473" i="733" s="1"/>
  <c r="D474" i="733" s="1"/>
  <c r="D475" i="733" s="1"/>
  <c r="D476" i="733" s="1"/>
  <c r="D477" i="733" s="1"/>
  <c r="D478" i="733" s="1"/>
  <c r="D479" i="733" s="1"/>
  <c r="D480" i="733" s="1"/>
  <c r="D481" i="733" s="1"/>
  <c r="D482" i="733" s="1"/>
  <c r="D483" i="733" s="1"/>
  <c r="D484" i="733" s="1"/>
  <c r="D485" i="733" s="1"/>
  <c r="D486" i="733" s="1"/>
  <c r="D487" i="733" s="1"/>
  <c r="D488" i="733" s="1"/>
  <c r="D489" i="733" s="1"/>
  <c r="D490" i="733" s="1"/>
  <c r="D491" i="733" s="1"/>
  <c r="D492" i="733" s="1"/>
  <c r="D493" i="733" s="1"/>
  <c r="D494" i="733" s="1"/>
  <c r="D495" i="733" s="1"/>
  <c r="D496" i="733" s="1"/>
  <c r="D497" i="733" s="1"/>
  <c r="D498" i="733" s="1"/>
  <c r="D499" i="733" s="1"/>
  <c r="D500" i="733" s="1"/>
  <c r="D501" i="733" s="1"/>
  <c r="D502" i="733" s="1"/>
  <c r="D503" i="733" s="1"/>
  <c r="D504" i="733" s="1"/>
  <c r="D505" i="733" s="1"/>
  <c r="D506" i="733" s="1"/>
  <c r="D507" i="733" s="1"/>
  <c r="D508" i="733" s="1"/>
  <c r="D509" i="733" s="1"/>
  <c r="D510" i="733" s="1"/>
  <c r="D511" i="733" s="1"/>
  <c r="D512" i="733" s="1"/>
  <c r="D513" i="733" s="1"/>
  <c r="D514" i="733" s="1"/>
  <c r="D515" i="733" s="1"/>
  <c r="D516" i="733" s="1"/>
  <c r="D517" i="733" s="1"/>
  <c r="D518" i="733" s="1"/>
  <c r="D519" i="733" s="1"/>
  <c r="D520" i="733" s="1"/>
  <c r="D521" i="733" s="1"/>
  <c r="D522" i="733" s="1"/>
  <c r="D523" i="733" s="1"/>
  <c r="D524" i="733" s="1"/>
  <c r="D525" i="733" s="1"/>
  <c r="D526" i="733" s="1"/>
  <c r="D527" i="733" s="1"/>
  <c r="D528" i="733" s="1"/>
  <c r="D529" i="733" s="1"/>
  <c r="D530" i="733" s="1"/>
  <c r="D531" i="733" s="1"/>
  <c r="D532" i="733" s="1"/>
  <c r="D533" i="733" s="1"/>
  <c r="D534" i="733" s="1"/>
  <c r="D535" i="733" s="1"/>
  <c r="D536" i="733" s="1"/>
  <c r="D537" i="733" s="1"/>
  <c r="D538" i="733" s="1"/>
  <c r="D539" i="733" s="1"/>
  <c r="D540" i="733" s="1"/>
  <c r="D541" i="733" s="1"/>
  <c r="D542" i="733" s="1"/>
  <c r="D543" i="733" s="1"/>
  <c r="D544" i="733" s="1"/>
  <c r="D545" i="733" s="1"/>
  <c r="D546" i="733" s="1"/>
  <c r="D547" i="733" s="1"/>
  <c r="D548" i="733" s="1"/>
  <c r="D549" i="733" s="1"/>
  <c r="D550" i="733" s="1"/>
  <c r="D551" i="733" s="1"/>
  <c r="D552" i="733" s="1"/>
  <c r="D553" i="733" s="1"/>
  <c r="D554" i="733" s="1"/>
  <c r="D555" i="733" s="1"/>
  <c r="D556" i="733" s="1"/>
  <c r="D557" i="733" s="1"/>
  <c r="D558" i="733" s="1"/>
  <c r="D559" i="733" s="1"/>
  <c r="D560" i="733" s="1"/>
  <c r="D561" i="733" s="1"/>
  <c r="D562" i="733" s="1"/>
  <c r="D563" i="733" s="1"/>
  <c r="D564" i="733" s="1"/>
  <c r="D565" i="733" s="1"/>
  <c r="D566" i="733" s="1"/>
  <c r="D567" i="733" s="1"/>
  <c r="D568" i="733" s="1"/>
  <c r="D569" i="733" s="1"/>
  <c r="D570" i="733" s="1"/>
  <c r="D571" i="733" s="1"/>
  <c r="D572" i="733" s="1"/>
  <c r="D573" i="733" s="1"/>
  <c r="D574" i="733" s="1"/>
  <c r="D575" i="733" s="1"/>
  <c r="D576" i="733" s="1"/>
  <c r="D577" i="733" s="1"/>
  <c r="D578" i="733" s="1"/>
  <c r="D579" i="733" s="1"/>
  <c r="D580" i="733" s="1"/>
  <c r="D581" i="733" s="1"/>
  <c r="D582" i="733" s="1"/>
  <c r="D583" i="733" s="1"/>
  <c r="D584" i="733" s="1"/>
  <c r="D585" i="733" s="1"/>
  <c r="D586" i="733" s="1"/>
  <c r="D587" i="733" s="1"/>
  <c r="D588" i="733" s="1"/>
  <c r="D589" i="733" s="1"/>
  <c r="D590" i="733" s="1"/>
  <c r="D591" i="733" s="1"/>
  <c r="D592" i="733" s="1"/>
  <c r="D593" i="733" s="1"/>
  <c r="D594" i="733" s="1"/>
  <c r="D595" i="733" s="1"/>
  <c r="D596" i="733" s="1"/>
  <c r="D597" i="733" s="1"/>
  <c r="D598" i="733" s="1"/>
  <c r="D599" i="733" s="1"/>
  <c r="D600" i="733" s="1"/>
  <c r="D601" i="733" s="1"/>
  <c r="D602" i="733" s="1"/>
  <c r="D603" i="733" s="1"/>
  <c r="D604" i="733" s="1"/>
  <c r="D605" i="733" s="1"/>
  <c r="D606" i="733" s="1"/>
  <c r="D607" i="733" s="1"/>
  <c r="D608" i="733" s="1"/>
  <c r="D609" i="733" s="1"/>
  <c r="D610" i="733" s="1"/>
  <c r="D611" i="733" s="1"/>
  <c r="D612" i="733" s="1"/>
  <c r="D613" i="733" s="1"/>
  <c r="D614" i="733" s="1"/>
  <c r="D615" i="733" s="1"/>
  <c r="D616" i="733" s="1"/>
  <c r="D617" i="733" s="1"/>
  <c r="D618" i="733" s="1"/>
  <c r="D619" i="733" s="1"/>
  <c r="D620" i="733" s="1"/>
  <c r="D621" i="733" s="1"/>
  <c r="D622" i="733" s="1"/>
  <c r="D623" i="733" s="1"/>
  <c r="D624" i="733" s="1"/>
  <c r="D625" i="733" s="1"/>
  <c r="D626" i="733" s="1"/>
  <c r="D627" i="733" s="1"/>
  <c r="D628" i="733" s="1"/>
  <c r="D629" i="733" s="1"/>
  <c r="D630" i="733" s="1"/>
  <c r="D631" i="733" s="1"/>
  <c r="D632" i="733" s="1"/>
  <c r="D633" i="733" s="1"/>
  <c r="D634" i="733" s="1"/>
  <c r="D635" i="733" s="1"/>
  <c r="D636" i="733" s="1"/>
  <c r="D637" i="733" s="1"/>
  <c r="D638" i="733" s="1"/>
  <c r="D639" i="733" s="1"/>
  <c r="D640" i="733" s="1"/>
  <c r="D641" i="733" s="1"/>
  <c r="D642" i="733" s="1"/>
  <c r="D643" i="733" s="1"/>
  <c r="D644" i="733" s="1"/>
  <c r="D645" i="733" s="1"/>
  <c r="D646" i="733" s="1"/>
  <c r="D647" i="733" s="1"/>
  <c r="D648" i="733" s="1"/>
  <c r="D649" i="733" s="1"/>
  <c r="D650" i="733" s="1"/>
  <c r="D651" i="733" s="1"/>
  <c r="D652" i="733" s="1"/>
  <c r="D653" i="733" s="1"/>
  <c r="D654" i="733" s="1"/>
  <c r="D655" i="733" s="1"/>
  <c r="D656" i="733" s="1"/>
  <c r="D657" i="733" s="1"/>
  <c r="D658" i="733" s="1"/>
  <c r="D659" i="733" s="1"/>
  <c r="D660" i="733" s="1"/>
  <c r="D661" i="733" s="1"/>
  <c r="D662" i="733" s="1"/>
  <c r="D663" i="733" s="1"/>
  <c r="D664" i="733" s="1"/>
  <c r="D665" i="733" s="1"/>
  <c r="D666" i="733" s="1"/>
  <c r="D667" i="733" s="1"/>
  <c r="D668" i="733" s="1"/>
  <c r="D669" i="733" s="1"/>
  <c r="D670" i="733" s="1"/>
  <c r="D671" i="733" s="1"/>
  <c r="D672" i="733" s="1"/>
  <c r="D673" i="733" s="1"/>
  <c r="D674" i="733" s="1"/>
  <c r="D675" i="733" s="1"/>
  <c r="D676" i="733" s="1"/>
  <c r="D677" i="733" s="1"/>
  <c r="D678" i="733" s="1"/>
  <c r="D679" i="733" s="1"/>
  <c r="D680" i="733" s="1"/>
  <c r="D681" i="733" s="1"/>
  <c r="D682" i="733" s="1"/>
  <c r="D683" i="733" s="1"/>
  <c r="D684" i="733" s="1"/>
  <c r="D685" i="733" s="1"/>
  <c r="D686" i="733" s="1"/>
  <c r="D687" i="733" s="1"/>
  <c r="D688" i="733" s="1"/>
  <c r="D689" i="733" s="1"/>
  <c r="D690" i="733" s="1"/>
  <c r="D691" i="733" s="1"/>
  <c r="D692" i="733" s="1"/>
  <c r="D693" i="733" s="1"/>
  <c r="D694" i="733" s="1"/>
  <c r="D695" i="733" s="1"/>
  <c r="D696" i="733" s="1"/>
  <c r="D697" i="733" s="1"/>
  <c r="D698" i="733" s="1"/>
  <c r="D699" i="733" s="1"/>
  <c r="D700" i="733" s="1"/>
  <c r="D701" i="733" s="1"/>
  <c r="D702" i="733" s="1"/>
  <c r="D703" i="733" s="1"/>
  <c r="D704" i="733" s="1"/>
  <c r="D705" i="733" s="1"/>
  <c r="D706" i="733" s="1"/>
  <c r="D707" i="733" s="1"/>
  <c r="D708" i="733" s="1"/>
  <c r="D709" i="733" s="1"/>
  <c r="D710" i="733" s="1"/>
  <c r="D711" i="733" s="1"/>
  <c r="D712" i="733" s="1"/>
  <c r="D713" i="733" s="1"/>
  <c r="D714" i="733" s="1"/>
  <c r="D715" i="733" s="1"/>
  <c r="D716" i="733" s="1"/>
  <c r="D717" i="733" s="1"/>
  <c r="D718" i="733" s="1"/>
  <c r="D719" i="733" s="1"/>
  <c r="D720" i="733" s="1"/>
  <c r="D721" i="733" s="1"/>
  <c r="D722" i="733" s="1"/>
  <c r="D723" i="733" s="1"/>
  <c r="D724" i="733" s="1"/>
  <c r="D725" i="733" s="1"/>
  <c r="D726" i="733" s="1"/>
  <c r="D727" i="733" s="1"/>
  <c r="D728" i="733" s="1"/>
  <c r="D729" i="733" s="1"/>
  <c r="D730" i="733" s="1"/>
  <c r="D731" i="733" s="1"/>
  <c r="D732" i="733" s="1"/>
  <c r="D733" i="733" s="1"/>
  <c r="D734" i="733" s="1"/>
  <c r="D735" i="733" s="1"/>
  <c r="D736" i="733" s="1"/>
  <c r="D737" i="733" s="1"/>
  <c r="D738" i="733" s="1"/>
  <c r="D739" i="733" s="1"/>
  <c r="D740" i="733" s="1"/>
  <c r="D741" i="733" s="1"/>
  <c r="D742" i="733" s="1"/>
  <c r="D743" i="733" s="1"/>
  <c r="D744" i="733" s="1"/>
  <c r="D745" i="733" s="1"/>
  <c r="D746" i="733" s="1"/>
  <c r="D747" i="733" s="1"/>
  <c r="D748" i="733" s="1"/>
  <c r="D749" i="733" s="1"/>
  <c r="D750" i="733" s="1"/>
  <c r="D751" i="733" s="1"/>
  <c r="D752" i="733" s="1"/>
  <c r="D753" i="733" s="1"/>
  <c r="D754" i="733" s="1"/>
  <c r="D755" i="733" s="1"/>
  <c r="D756" i="733" s="1"/>
  <c r="D757" i="733" s="1"/>
  <c r="D758" i="733" s="1"/>
  <c r="D759" i="733" s="1"/>
  <c r="D760" i="733" s="1"/>
  <c r="D761" i="733" s="1"/>
  <c r="D762" i="733" s="1"/>
  <c r="D763" i="733" s="1"/>
  <c r="D764" i="733" s="1"/>
  <c r="D765" i="733" s="1"/>
  <c r="D766" i="733" s="1"/>
  <c r="D767" i="733" s="1"/>
  <c r="D768" i="733" s="1"/>
  <c r="D769" i="733" s="1"/>
  <c r="D770" i="733" s="1"/>
  <c r="D771" i="733" s="1"/>
  <c r="D772" i="733" s="1"/>
  <c r="D773" i="733" s="1"/>
  <c r="D774" i="733" s="1"/>
  <c r="D775" i="733" s="1"/>
  <c r="D776" i="733" s="1"/>
  <c r="D777" i="733" s="1"/>
  <c r="D778" i="733" s="1"/>
  <c r="D779" i="733" s="1"/>
  <c r="D780" i="733" s="1"/>
  <c r="D781" i="733" s="1"/>
  <c r="D782" i="733" s="1"/>
  <c r="D783" i="733" s="1"/>
  <c r="D784" i="733" s="1"/>
  <c r="D785" i="733" s="1"/>
  <c r="D786" i="733" s="1"/>
  <c r="D787" i="733" s="1"/>
  <c r="D788" i="733" s="1"/>
  <c r="D789" i="733" s="1"/>
  <c r="D790" i="733" s="1"/>
  <c r="D791" i="733" s="1"/>
  <c r="D792" i="733" s="1"/>
  <c r="D793" i="733" s="1"/>
  <c r="D794" i="733" s="1"/>
  <c r="D795" i="733" s="1"/>
  <c r="D796" i="733" s="1"/>
  <c r="D797" i="733" s="1"/>
  <c r="D798" i="733" s="1"/>
  <c r="D799" i="733" s="1"/>
  <c r="D800" i="733" s="1"/>
  <c r="D801" i="733" s="1"/>
  <c r="D802" i="733" s="1"/>
  <c r="D803" i="733" s="1"/>
  <c r="D804" i="733" s="1"/>
  <c r="D805" i="733" s="1"/>
  <c r="D806" i="733" s="1"/>
  <c r="D807" i="733" s="1"/>
  <c r="D808" i="733" s="1"/>
  <c r="D809" i="733" s="1"/>
  <c r="D810" i="733" s="1"/>
  <c r="D811" i="733" s="1"/>
  <c r="D812" i="733" s="1"/>
  <c r="D813" i="733" s="1"/>
  <c r="D814" i="733" s="1"/>
  <c r="D815" i="733" s="1"/>
  <c r="D816" i="733" s="1"/>
  <c r="D817" i="733" s="1"/>
  <c r="D818" i="733" s="1"/>
  <c r="D819" i="733" s="1"/>
  <c r="D820" i="733" s="1"/>
  <c r="D821" i="733" s="1"/>
  <c r="D822" i="733" s="1"/>
  <c r="D823" i="733" s="1"/>
  <c r="D824" i="733" s="1"/>
  <c r="D825" i="733" s="1"/>
  <c r="D826" i="733" s="1"/>
  <c r="D827" i="733" s="1"/>
  <c r="D828" i="733" s="1"/>
  <c r="D829" i="733" s="1"/>
  <c r="D830" i="733" s="1"/>
  <c r="D831" i="733" s="1"/>
  <c r="D832" i="733" s="1"/>
  <c r="D833" i="733" s="1"/>
  <c r="D834" i="733" s="1"/>
  <c r="D835" i="733" s="1"/>
  <c r="D836" i="733" s="1"/>
  <c r="D837" i="733" s="1"/>
  <c r="D838" i="733" s="1"/>
  <c r="D839" i="733" s="1"/>
  <c r="D840" i="733" s="1"/>
  <c r="D841" i="733" s="1"/>
  <c r="D842" i="733" s="1"/>
  <c r="D843" i="733" s="1"/>
  <c r="D844" i="733" s="1"/>
  <c r="D845" i="733" s="1"/>
  <c r="D846" i="733" s="1"/>
  <c r="D847" i="733" s="1"/>
  <c r="D848" i="733" s="1"/>
  <c r="D849" i="733" s="1"/>
  <c r="D850" i="733" s="1"/>
  <c r="D851" i="733" s="1"/>
  <c r="D852" i="733" s="1"/>
  <c r="D853" i="733" s="1"/>
  <c r="D854" i="733" s="1"/>
  <c r="D855" i="733" s="1"/>
  <c r="D856" i="733" s="1"/>
  <c r="D857" i="733" s="1"/>
  <c r="D858" i="733" s="1"/>
  <c r="D859" i="733" s="1"/>
  <c r="D860" i="733" s="1"/>
  <c r="D861" i="733" s="1"/>
  <c r="D862" i="733" s="1"/>
  <c r="D863" i="733" s="1"/>
  <c r="D864" i="733" s="1"/>
  <c r="D865" i="733" s="1"/>
  <c r="D866" i="733" s="1"/>
  <c r="D867" i="733" s="1"/>
  <c r="D868" i="733" s="1"/>
  <c r="D869" i="733" s="1"/>
  <c r="D870" i="733" s="1"/>
  <c r="D871" i="733" s="1"/>
  <c r="D872" i="733" s="1"/>
  <c r="D873" i="733" s="1"/>
  <c r="D874" i="733" s="1"/>
  <c r="D875" i="733" s="1"/>
  <c r="D876" i="733" s="1"/>
  <c r="D877" i="733" s="1"/>
  <c r="D878" i="733" s="1"/>
  <c r="D879" i="733" s="1"/>
  <c r="D880" i="733" s="1"/>
  <c r="D881" i="733" s="1"/>
  <c r="D882" i="733" s="1"/>
  <c r="D883" i="733" s="1"/>
  <c r="D884" i="733" s="1"/>
  <c r="D885" i="733" s="1"/>
  <c r="D886" i="733" s="1"/>
  <c r="D887" i="733" s="1"/>
  <c r="D888" i="733" s="1"/>
  <c r="D889" i="733" s="1"/>
  <c r="D890" i="733" s="1"/>
  <c r="D891" i="733" s="1"/>
  <c r="D892" i="733" s="1"/>
  <c r="D893" i="733" s="1"/>
  <c r="D894" i="733" s="1"/>
  <c r="D895" i="733" s="1"/>
  <c r="D896" i="733" s="1"/>
  <c r="D897" i="733" s="1"/>
  <c r="D898" i="733" s="1"/>
  <c r="D899" i="733" s="1"/>
  <c r="D900" i="733" s="1"/>
  <c r="D901" i="733" s="1"/>
  <c r="D902" i="733" s="1"/>
  <c r="D903" i="733" s="1"/>
  <c r="D904" i="733" s="1"/>
  <c r="D905" i="733" s="1"/>
  <c r="D906" i="733" s="1"/>
  <c r="D907" i="733" s="1"/>
  <c r="D908" i="733" s="1"/>
  <c r="D909" i="733" s="1"/>
  <c r="D910" i="733" s="1"/>
  <c r="D911" i="733" s="1"/>
  <c r="D912" i="733" s="1"/>
  <c r="D913" i="733" s="1"/>
  <c r="D914" i="733" s="1"/>
  <c r="D915" i="733" s="1"/>
  <c r="D916" i="733" s="1"/>
  <c r="D917" i="733" s="1"/>
  <c r="D918" i="733" s="1"/>
  <c r="D919" i="733" s="1"/>
  <c r="D920" i="733" s="1"/>
  <c r="D921" i="733" s="1"/>
  <c r="D922" i="733" s="1"/>
  <c r="D923" i="733" s="1"/>
  <c r="D924" i="733" s="1"/>
  <c r="D925" i="733" s="1"/>
  <c r="D926" i="733" s="1"/>
  <c r="D927" i="733" s="1"/>
  <c r="D928" i="733" s="1"/>
  <c r="D929" i="733" s="1"/>
  <c r="D930" i="733" s="1"/>
  <c r="D931" i="733" s="1"/>
  <c r="D932" i="733" s="1"/>
  <c r="D933" i="733" s="1"/>
  <c r="D934" i="733" s="1"/>
  <c r="D935" i="733" s="1"/>
  <c r="D936" i="733" s="1"/>
  <c r="D937" i="733" s="1"/>
  <c r="D938" i="733" s="1"/>
  <c r="D939" i="733" s="1"/>
  <c r="D940" i="733" s="1"/>
  <c r="D941" i="733" s="1"/>
  <c r="D942" i="733" s="1"/>
  <c r="D943" i="733" s="1"/>
  <c r="D944" i="733" s="1"/>
  <c r="D945" i="733" s="1"/>
  <c r="D946" i="733" s="1"/>
  <c r="D947" i="733" s="1"/>
  <c r="D948" i="733" s="1"/>
  <c r="D949" i="733" s="1"/>
  <c r="D950" i="733" s="1"/>
  <c r="D951" i="733" s="1"/>
  <c r="D952" i="733" s="1"/>
  <c r="D953" i="733" s="1"/>
  <c r="D954" i="733" s="1"/>
  <c r="D955" i="733" s="1"/>
  <c r="D956" i="733" s="1"/>
  <c r="D957" i="733" s="1"/>
  <c r="D958" i="733" s="1"/>
  <c r="D959" i="733" s="1"/>
  <c r="D960" i="733" s="1"/>
  <c r="D961" i="733" s="1"/>
  <c r="D962" i="733" s="1"/>
  <c r="D963" i="733" s="1"/>
  <c r="D964" i="733" s="1"/>
  <c r="D965" i="733" s="1"/>
  <c r="D966" i="733" s="1"/>
  <c r="D967" i="733" s="1"/>
  <c r="D968" i="733" s="1"/>
  <c r="D969" i="733" s="1"/>
  <c r="D970" i="733" s="1"/>
  <c r="D971" i="733" s="1"/>
  <c r="D972" i="733" s="1"/>
  <c r="D973" i="733" s="1"/>
  <c r="D974" i="733" s="1"/>
  <c r="D975" i="733" s="1"/>
  <c r="D976" i="733" s="1"/>
  <c r="D977" i="733" s="1"/>
  <c r="D978" i="733" s="1"/>
  <c r="D979" i="733" s="1"/>
  <c r="D980" i="733" s="1"/>
  <c r="D981" i="733" s="1"/>
  <c r="D982" i="733" s="1"/>
  <c r="D983" i="733" s="1"/>
  <c r="D984" i="733" s="1"/>
  <c r="D985" i="733" s="1"/>
  <c r="D986" i="733" s="1"/>
  <c r="D987" i="733" s="1"/>
  <c r="D988" i="733" s="1"/>
  <c r="D989" i="733" s="1"/>
  <c r="D990" i="733" s="1"/>
  <c r="D991" i="733" s="1"/>
  <c r="D992" i="733" s="1"/>
  <c r="D993" i="733" s="1"/>
  <c r="D994" i="733" s="1"/>
  <c r="D995" i="733" s="1"/>
  <c r="D996" i="733" s="1"/>
  <c r="D997" i="733" s="1"/>
  <c r="D998" i="733" s="1"/>
  <c r="D999" i="733" s="1"/>
  <c r="D1000" i="733" s="1"/>
  <c r="D1001" i="733" s="1"/>
  <c r="D1002" i="733" s="1"/>
  <c r="D8" i="732"/>
  <c r="A8" i="732"/>
  <c r="C8" i="732" s="1"/>
  <c r="E7" i="732"/>
  <c r="D7" i="732"/>
  <c r="C7" i="732"/>
  <c r="B7" i="732"/>
  <c r="D8" i="731"/>
  <c r="C8" i="731"/>
  <c r="A8" i="731"/>
  <c r="A9" i="731" s="1"/>
  <c r="E7" i="731"/>
  <c r="D7" i="731"/>
  <c r="C7" i="731"/>
  <c r="B7" i="731"/>
  <c r="AB19" i="738" l="1"/>
  <c r="D22" i="734"/>
  <c r="M11" i="738"/>
  <c r="L11" i="738"/>
  <c r="M6" i="738"/>
  <c r="D21" i="734"/>
  <c r="E15" i="734" s="1"/>
  <c r="B16" i="735"/>
  <c r="E11" i="735" s="1"/>
  <c r="L6" i="738"/>
  <c r="AU19" i="742"/>
  <c r="AS20" i="742"/>
  <c r="AU20" i="742" s="1"/>
  <c r="AP19" i="742"/>
  <c r="AN20" i="742"/>
  <c r="AR18" i="743"/>
  <c r="AP19" i="743"/>
  <c r="C10" i="736"/>
  <c r="A11" i="736"/>
  <c r="B10" i="736"/>
  <c r="Q10" i="736"/>
  <c r="M12" i="736"/>
  <c r="E19" i="734"/>
  <c r="E18" i="734"/>
  <c r="E17" i="734"/>
  <c r="E16" i="734"/>
  <c r="E20" i="734" s="1"/>
  <c r="E9" i="731"/>
  <c r="B9" i="731"/>
  <c r="D9" i="731"/>
  <c r="C9" i="731"/>
  <c r="A10" i="731"/>
  <c r="E8" i="731"/>
  <c r="B8" i="731"/>
  <c r="E8" i="732"/>
  <c r="B8" i="732"/>
  <c r="A9" i="732"/>
  <c r="E22" i="734" l="1"/>
  <c r="AP20" i="742"/>
  <c r="AN21" i="742"/>
  <c r="AP21" i="742" s="1"/>
  <c r="AP20" i="743"/>
  <c r="AR20" i="743" s="1"/>
  <c r="AR19" i="743"/>
  <c r="C11" i="736"/>
  <c r="A12" i="736"/>
  <c r="B11" i="736"/>
  <c r="Q11" i="736"/>
  <c r="M13" i="736"/>
  <c r="E21" i="734"/>
  <c r="F15" i="734" s="1"/>
  <c r="A10" i="732"/>
  <c r="B9" i="732"/>
  <c r="E9" i="732"/>
  <c r="D9" i="732"/>
  <c r="C9" i="732"/>
  <c r="D10" i="731"/>
  <c r="C10" i="731"/>
  <c r="B10" i="731"/>
  <c r="E10" i="731"/>
  <c r="A11" i="731"/>
  <c r="A13" i="736" l="1"/>
  <c r="B12" i="736"/>
  <c r="C12" i="736"/>
  <c r="M14" i="736"/>
  <c r="Q12" i="736"/>
  <c r="F17" i="734"/>
  <c r="F16" i="734"/>
  <c r="F19" i="734"/>
  <c r="F18" i="734"/>
  <c r="F20" i="734"/>
  <c r="C11" i="731"/>
  <c r="E11" i="731"/>
  <c r="A12" i="731"/>
  <c r="B11" i="731"/>
  <c r="D11" i="731"/>
  <c r="E10" i="732"/>
  <c r="D10" i="732"/>
  <c r="C10" i="732"/>
  <c r="A11" i="732"/>
  <c r="B10" i="732"/>
  <c r="J5" i="729"/>
  <c r="I7" i="728"/>
  <c r="E7" i="728"/>
  <c r="D7" i="728"/>
  <c r="C7" i="728"/>
  <c r="B7" i="728"/>
  <c r="F7" i="728" s="1"/>
  <c r="I6" i="728"/>
  <c r="F6" i="728"/>
  <c r="I5" i="728"/>
  <c r="H5" i="728" a="1"/>
  <c r="H6" i="728" s="1"/>
  <c r="F5" i="728"/>
  <c r="F4" i="728"/>
  <c r="D30" i="727"/>
  <c r="C30" i="727"/>
  <c r="L29" i="727"/>
  <c r="E18" i="727"/>
  <c r="E17" i="727"/>
  <c r="E30" i="727" s="1"/>
  <c r="D17" i="727"/>
  <c r="C17" i="727"/>
  <c r="B17" i="727"/>
  <c r="B30" i="727" s="1"/>
  <c r="E16" i="727"/>
  <c r="E29" i="727" s="1"/>
  <c r="D16" i="727"/>
  <c r="D29" i="727" s="1"/>
  <c r="C16" i="727"/>
  <c r="B16" i="727"/>
  <c r="B29" i="727" s="1"/>
  <c r="E15" i="727"/>
  <c r="E28" i="727" s="1"/>
  <c r="E31" i="727" s="1"/>
  <c r="B37" i="727" s="1"/>
  <c r="D15" i="727"/>
  <c r="D18" i="727" s="1"/>
  <c r="C15" i="727"/>
  <c r="C28" i="727" s="1"/>
  <c r="B15" i="727"/>
  <c r="B28" i="727" s="1"/>
  <c r="E7" i="727"/>
  <c r="D7" i="727"/>
  <c r="C7" i="727"/>
  <c r="B7" i="727"/>
  <c r="K6" i="727"/>
  <c r="F6" i="727"/>
  <c r="H6" i="727" s="1"/>
  <c r="F5" i="727"/>
  <c r="K5" i="727" s="1"/>
  <c r="K4" i="727"/>
  <c r="K7" i="727" s="1"/>
  <c r="F4" i="727"/>
  <c r="I4" i="727" s="1"/>
  <c r="E10" i="726"/>
  <c r="D10" i="726"/>
  <c r="I6" i="727" l="1"/>
  <c r="F21" i="734"/>
  <c r="F22" i="734"/>
  <c r="Q13" i="736"/>
  <c r="A14" i="736"/>
  <c r="C13" i="736"/>
  <c r="B13" i="736"/>
  <c r="M15" i="736"/>
  <c r="A13" i="731"/>
  <c r="B12" i="731"/>
  <c r="C12" i="731"/>
  <c r="E12" i="731"/>
  <c r="D12" i="731"/>
  <c r="D11" i="732"/>
  <c r="C11" i="732"/>
  <c r="A12" i="732"/>
  <c r="B11" i="732"/>
  <c r="E11" i="732"/>
  <c r="H7" i="728"/>
  <c r="H5" i="728"/>
  <c r="M6" i="727"/>
  <c r="F30" i="727"/>
  <c r="H30" i="727"/>
  <c r="I30" i="727"/>
  <c r="B31" i="727"/>
  <c r="L5" i="727"/>
  <c r="M5" i="727" s="1"/>
  <c r="F17" i="727"/>
  <c r="K17" i="727" s="1"/>
  <c r="C29" i="727"/>
  <c r="C31" i="727" s="1"/>
  <c r="A37" i="727" s="1"/>
  <c r="F39" i="727" s="1"/>
  <c r="B18" i="727"/>
  <c r="I5" i="727"/>
  <c r="I7" i="727" s="1"/>
  <c r="L6" i="727"/>
  <c r="F15" i="727"/>
  <c r="I15" i="727" s="1"/>
  <c r="C18" i="727"/>
  <c r="D28" i="727"/>
  <c r="I28" i="727"/>
  <c r="F7" i="727"/>
  <c r="L4" i="727"/>
  <c r="H5" i="727"/>
  <c r="J15" i="727"/>
  <c r="H4" i="727"/>
  <c r="M4" i="727"/>
  <c r="F16" i="727"/>
  <c r="H16" i="727" s="1"/>
  <c r="K15" i="727" l="1"/>
  <c r="H15" i="727"/>
  <c r="G15" i="734"/>
  <c r="M16" i="736"/>
  <c r="Q14" i="736"/>
  <c r="C14" i="736"/>
  <c r="A15" i="736"/>
  <c r="B14" i="736"/>
  <c r="C12" i="732"/>
  <c r="A13" i="732"/>
  <c r="B12" i="732"/>
  <c r="E12" i="732"/>
  <c r="D12" i="732"/>
  <c r="E13" i="731"/>
  <c r="C13" i="731"/>
  <c r="A14" i="731"/>
  <c r="D13" i="731"/>
  <c r="B13" i="731"/>
  <c r="O15" i="727"/>
  <c r="N15" i="727"/>
  <c r="L15" i="727"/>
  <c r="M15" i="727"/>
  <c r="D31" i="727"/>
  <c r="B36" i="727" s="1"/>
  <c r="E40" i="727" s="1"/>
  <c r="H28" i="727"/>
  <c r="F28" i="727"/>
  <c r="A36" i="727"/>
  <c r="H29" i="727"/>
  <c r="H7" i="727"/>
  <c r="L7" i="727"/>
  <c r="F18" i="727"/>
  <c r="I17" i="727"/>
  <c r="I29" i="727"/>
  <c r="I31" i="727" s="1"/>
  <c r="H31" i="727" s="1"/>
  <c r="L28" i="727" s="1"/>
  <c r="L30" i="727" s="1"/>
  <c r="J17" i="727"/>
  <c r="H17" i="727"/>
  <c r="J16" i="727"/>
  <c r="L16" i="727" s="1"/>
  <c r="I16" i="727"/>
  <c r="K16" i="727"/>
  <c r="M16" i="727" s="1"/>
  <c r="F29" i="727"/>
  <c r="G17" i="734" l="1"/>
  <c r="G19" i="734"/>
  <c r="G16" i="734"/>
  <c r="G20" i="734" s="1"/>
  <c r="G21" i="734" s="1"/>
  <c r="G18" i="734"/>
  <c r="K18" i="727"/>
  <c r="Q15" i="736"/>
  <c r="C15" i="736"/>
  <c r="A16" i="736"/>
  <c r="B15" i="736"/>
  <c r="D14" i="731"/>
  <c r="A15" i="731"/>
  <c r="C14" i="731"/>
  <c r="B14" i="731"/>
  <c r="E14" i="731"/>
  <c r="A14" i="732"/>
  <c r="B13" i="732"/>
  <c r="E13" i="732"/>
  <c r="D13" i="732"/>
  <c r="C13" i="732"/>
  <c r="O16" i="727"/>
  <c r="N16" i="727"/>
  <c r="I9" i="727"/>
  <c r="I10" i="727" s="1"/>
  <c r="L9" i="727"/>
  <c r="L10" i="727" s="1"/>
  <c r="N17" i="727"/>
  <c r="O17" i="727"/>
  <c r="O18" i="727" s="1"/>
  <c r="J18" i="727"/>
  <c r="L17" i="727"/>
  <c r="L18" i="727" s="1"/>
  <c r="M17" i="727"/>
  <c r="M18" i="727" s="1"/>
  <c r="F38" i="727"/>
  <c r="D40" i="727"/>
  <c r="J40" i="727"/>
  <c r="N44" i="727"/>
  <c r="N45" i="727" s="1"/>
  <c r="I40" i="727"/>
  <c r="M7" i="727"/>
  <c r="L20" i="727"/>
  <c r="F31" i="727"/>
  <c r="A17" i="736" l="1"/>
  <c r="B16" i="736"/>
  <c r="C16" i="736"/>
  <c r="Q16" i="736"/>
  <c r="E14" i="732"/>
  <c r="D14" i="732"/>
  <c r="C14" i="732"/>
  <c r="B14" i="732"/>
  <c r="A15" i="732"/>
  <c r="C15" i="731"/>
  <c r="D15" i="731"/>
  <c r="A16" i="731"/>
  <c r="B15" i="731"/>
  <c r="E15" i="731"/>
  <c r="K40" i="727"/>
  <c r="F40" i="727"/>
  <c r="H40" i="727" s="1"/>
  <c r="N18" i="727" l="1"/>
  <c r="I20" i="727" s="1"/>
  <c r="G22" i="734"/>
  <c r="H15" i="734" s="1"/>
  <c r="A18" i="736"/>
  <c r="C17" i="736"/>
  <c r="B17" i="736"/>
  <c r="Q17" i="736"/>
  <c r="A17" i="731"/>
  <c r="B16" i="731"/>
  <c r="D16" i="731"/>
  <c r="E16" i="731"/>
  <c r="C16" i="731"/>
  <c r="D15" i="732"/>
  <c r="C15" i="732"/>
  <c r="A16" i="732"/>
  <c r="B15" i="732"/>
  <c r="E15" i="732"/>
  <c r="K45" i="727"/>
  <c r="K44" i="727"/>
  <c r="D38" i="727" a="1"/>
  <c r="L23" i="727" l="1"/>
  <c r="L22" i="727"/>
  <c r="G8" i="729" a="1"/>
  <c r="F8" i="729" a="1"/>
  <c r="G6" i="729" a="1"/>
  <c r="F6" i="729" a="1"/>
  <c r="H19" i="734"/>
  <c r="H18" i="734"/>
  <c r="H17" i="734"/>
  <c r="H22" i="734" s="1"/>
  <c r="H16" i="734"/>
  <c r="H20" i="734" s="1"/>
  <c r="H21" i="734"/>
  <c r="I15" i="734" s="1"/>
  <c r="F7" i="729" a="1"/>
  <c r="G7" i="729" a="1"/>
  <c r="Q18" i="736"/>
  <c r="A19" i="736"/>
  <c r="C18" i="736"/>
  <c r="B18" i="736"/>
  <c r="C16" i="732"/>
  <c r="A17" i="732"/>
  <c r="B16" i="732"/>
  <c r="E16" i="732"/>
  <c r="D16" i="732"/>
  <c r="E17" i="731"/>
  <c r="B17" i="731"/>
  <c r="D17" i="731"/>
  <c r="C17" i="731"/>
  <c r="A18" i="731"/>
  <c r="D38" i="727"/>
  <c r="E39" i="727"/>
  <c r="D39" i="727"/>
  <c r="E38" i="727"/>
  <c r="G9" i="729" l="1" a="1"/>
  <c r="H7" i="729" a="1"/>
  <c r="H8" i="729" a="1"/>
  <c r="I18" i="734"/>
  <c r="I17" i="734"/>
  <c r="I16" i="734"/>
  <c r="I20" i="734" s="1"/>
  <c r="I19" i="734"/>
  <c r="I21" i="734"/>
  <c r="H6" i="729" a="1"/>
  <c r="F9" i="729" a="1"/>
  <c r="Q19" i="736"/>
  <c r="A20" i="736"/>
  <c r="C19" i="736"/>
  <c r="B19" i="736"/>
  <c r="D18" i="731"/>
  <c r="C18" i="731"/>
  <c r="A19" i="731"/>
  <c r="B18" i="731"/>
  <c r="E18" i="731"/>
  <c r="A18" i="732"/>
  <c r="B17" i="732"/>
  <c r="E17" i="732"/>
  <c r="D17" i="732"/>
  <c r="C17" i="732"/>
  <c r="G24" i="239"/>
  <c r="H24" i="239"/>
  <c r="G25" i="239"/>
  <c r="H25" i="239"/>
  <c r="G26" i="239"/>
  <c r="H26" i="239"/>
  <c r="F26" i="239"/>
  <c r="F25" i="239"/>
  <c r="F24" i="239"/>
  <c r="F29" i="239"/>
  <c r="F22" i="239" s="1"/>
  <c r="F23" i="239" s="1"/>
  <c r="G21" i="239"/>
  <c r="H21" i="239"/>
  <c r="F21" i="239"/>
  <c r="G8" i="239"/>
  <c r="H8" i="239"/>
  <c r="G9" i="239"/>
  <c r="H9" i="239"/>
  <c r="G10" i="239"/>
  <c r="H10" i="239"/>
  <c r="F10" i="239"/>
  <c r="F9" i="239"/>
  <c r="F8" i="239"/>
  <c r="F13" i="239"/>
  <c r="F6" i="239" s="1"/>
  <c r="F7" i="239" s="1"/>
  <c r="G5" i="239"/>
  <c r="H5" i="239"/>
  <c r="F5" i="239"/>
  <c r="B15" i="695"/>
  <c r="B14" i="695"/>
  <c r="B13" i="695"/>
  <c r="B8" i="695"/>
  <c r="B10" i="695"/>
  <c r="B7" i="695"/>
  <c r="B5" i="695"/>
  <c r="B19" i="695"/>
  <c r="B17" i="695"/>
  <c r="B4" i="695"/>
  <c r="B20" i="695"/>
  <c r="B11" i="695"/>
  <c r="B21" i="695"/>
  <c r="B18" i="695"/>
  <c r="B6" i="695"/>
  <c r="B16" i="695"/>
  <c r="B23" i="695"/>
  <c r="B22" i="695"/>
  <c r="B12" i="695"/>
  <c r="B9" i="695"/>
  <c r="M44" i="727" l="1"/>
  <c r="L44" i="727"/>
  <c r="J44" i="727"/>
  <c r="L45" i="727"/>
  <c r="J45" i="727"/>
  <c r="M45" i="727"/>
  <c r="S13" i="736"/>
  <c r="S17" i="736"/>
  <c r="S16" i="736"/>
  <c r="S15" i="736"/>
  <c r="S11" i="736"/>
  <c r="S14" i="736"/>
  <c r="J6" i="729"/>
  <c r="J7" i="729"/>
  <c r="S8" i="736"/>
  <c r="S9" i="736"/>
  <c r="S10" i="736"/>
  <c r="K5" i="729"/>
  <c r="L5" i="729"/>
  <c r="S12" i="736"/>
  <c r="G7" i="729"/>
  <c r="J15" i="734"/>
  <c r="H9" i="729" a="1"/>
  <c r="I22" i="734"/>
  <c r="S18" i="736"/>
  <c r="Q20" i="736"/>
  <c r="C20" i="736"/>
  <c r="B20" i="736"/>
  <c r="A21" i="736"/>
  <c r="C19" i="731"/>
  <c r="A20" i="731"/>
  <c r="B19" i="731"/>
  <c r="E19" i="731"/>
  <c r="D19" i="731"/>
  <c r="E18" i="732"/>
  <c r="D18" i="732"/>
  <c r="C18" i="732"/>
  <c r="A19" i="732"/>
  <c r="B18" i="732"/>
  <c r="H11" i="239"/>
  <c r="H27" i="239"/>
  <c r="F11" i="239"/>
  <c r="H6" i="239"/>
  <c r="H7" i="239" s="1"/>
  <c r="F27" i="239"/>
  <c r="H22" i="239"/>
  <c r="H23" i="239" s="1"/>
  <c r="G11" i="239"/>
  <c r="G6" i="239"/>
  <c r="G7" i="239" s="1"/>
  <c r="G27" i="239"/>
  <c r="G22" i="239"/>
  <c r="G23" i="239" s="1"/>
  <c r="K5" i="31"/>
  <c r="M6" i="30"/>
  <c r="M7" i="30" s="1"/>
  <c r="M8" i="30"/>
  <c r="M9" i="30"/>
  <c r="M10" i="30"/>
  <c r="M11" i="30"/>
  <c r="L11" i="30"/>
  <c r="L10" i="30"/>
  <c r="L9" i="30"/>
  <c r="L8" i="30"/>
  <c r="L6" i="30"/>
  <c r="L7" i="30" s="1"/>
  <c r="M5" i="30"/>
  <c r="L5" i="30"/>
  <c r="S8" i="25"/>
  <c r="S7" i="25"/>
  <c r="S6" i="25"/>
  <c r="S11" i="25"/>
  <c r="S9" i="25" s="1"/>
  <c r="S3" i="25"/>
  <c r="F7" i="729" l="1"/>
  <c r="G6" i="729"/>
  <c r="I3" i="733"/>
  <c r="I4" i="733"/>
  <c r="J8" i="729"/>
  <c r="G8" i="729"/>
  <c r="G9" i="729" s="1"/>
  <c r="F8" i="729"/>
  <c r="F6" i="729"/>
  <c r="H7" i="729"/>
  <c r="M7" i="729"/>
  <c r="J16" i="734"/>
  <c r="D8" i="734" s="1"/>
  <c r="D7" i="734"/>
  <c r="J19" i="734"/>
  <c r="J17" i="734"/>
  <c r="J22" i="734" s="1"/>
  <c r="J18" i="734"/>
  <c r="J20" i="734"/>
  <c r="D6" i="734" s="1"/>
  <c r="M15" i="734" s="1"/>
  <c r="S19" i="736"/>
  <c r="A22" i="736"/>
  <c r="C21" i="736"/>
  <c r="B21" i="736"/>
  <c r="Q21" i="736"/>
  <c r="A21" i="731"/>
  <c r="B20" i="731"/>
  <c r="E20" i="731"/>
  <c r="D20" i="731"/>
  <c r="C20" i="731"/>
  <c r="D19" i="732"/>
  <c r="C19" i="732"/>
  <c r="A20" i="732"/>
  <c r="B19" i="732"/>
  <c r="E19" i="732"/>
  <c r="S4" i="25"/>
  <c r="S5" i="25" s="1"/>
  <c r="D4" i="724"/>
  <c r="C15" i="724"/>
  <c r="C16" i="724" s="1"/>
  <c r="C17" i="724" s="1"/>
  <c r="D7" i="724" a="1"/>
  <c r="D7" i="724" s="1"/>
  <c r="D5" i="724"/>
  <c r="D6" i="724" s="1"/>
  <c r="P7" i="729" l="1"/>
  <c r="H6" i="729"/>
  <c r="F9" i="729"/>
  <c r="K9" i="729"/>
  <c r="Q7" i="729"/>
  <c r="R7" i="729" s="1"/>
  <c r="R11" i="729" s="1"/>
  <c r="L9" i="729"/>
  <c r="M6" i="729"/>
  <c r="H8" i="729"/>
  <c r="M8" i="729"/>
  <c r="D14" i="724"/>
  <c r="J21" i="734"/>
  <c r="D12" i="734"/>
  <c r="M21" i="734" s="1"/>
  <c r="M16" i="734"/>
  <c r="M18" i="734" s="1"/>
  <c r="O17" i="734" s="1"/>
  <c r="Q22" i="736"/>
  <c r="B22" i="736"/>
  <c r="A23" i="736"/>
  <c r="C22" i="736"/>
  <c r="C20" i="732"/>
  <c r="A21" i="732"/>
  <c r="B20" i="732"/>
  <c r="E20" i="732"/>
  <c r="D20" i="732"/>
  <c r="E21" i="731"/>
  <c r="D21" i="731"/>
  <c r="C21" i="731"/>
  <c r="A22" i="731"/>
  <c r="B21" i="731"/>
  <c r="D4" i="723"/>
  <c r="D6" i="723" s="1"/>
  <c r="D3" i="723"/>
  <c r="F9" i="21"/>
  <c r="G9" i="21"/>
  <c r="H9" i="21"/>
  <c r="G24" i="21"/>
  <c r="G25" i="21" s="1"/>
  <c r="H24" i="21"/>
  <c r="H25" i="21" s="1"/>
  <c r="G26" i="21"/>
  <c r="H26" i="21"/>
  <c r="G27" i="21"/>
  <c r="H27" i="21"/>
  <c r="G28" i="21"/>
  <c r="H28" i="21"/>
  <c r="G29" i="21"/>
  <c r="H29" i="21"/>
  <c r="F28" i="21"/>
  <c r="F27" i="21"/>
  <c r="F26" i="21"/>
  <c r="F29" i="21"/>
  <c r="F24" i="21"/>
  <c r="F25" i="21" s="1"/>
  <c r="G23" i="21"/>
  <c r="H23" i="21"/>
  <c r="F23" i="21"/>
  <c r="H9" i="729" l="1"/>
  <c r="M9" i="729"/>
  <c r="O7" i="729" s="1"/>
  <c r="R12" i="729"/>
  <c r="K6" i="729" a="1"/>
  <c r="M20" i="734"/>
  <c r="O19" i="734" s="1"/>
  <c r="A24" i="736"/>
  <c r="C23" i="736"/>
  <c r="B23" i="736"/>
  <c r="E26" i="736" s="1"/>
  <c r="Q23" i="736"/>
  <c r="A22" i="732"/>
  <c r="B21" i="732"/>
  <c r="E21" i="732"/>
  <c r="D21" i="732"/>
  <c r="C21" i="732"/>
  <c r="D22" i="731"/>
  <c r="C22" i="731"/>
  <c r="A23" i="731"/>
  <c r="B22" i="731"/>
  <c r="E22" i="731"/>
  <c r="D7" i="723"/>
  <c r="D9" i="723" s="1"/>
  <c r="U19" i="722" a="1"/>
  <c r="U19" i="722" s="1"/>
  <c r="I22" i="722"/>
  <c r="I20" i="722"/>
  <c r="A5" i="722"/>
  <c r="A6" i="722" s="1"/>
  <c r="A7" i="722" s="1"/>
  <c r="C21" i="721"/>
  <c r="B21" i="721"/>
  <c r="C20" i="721"/>
  <c r="B20" i="721"/>
  <c r="C19" i="721"/>
  <c r="B19" i="721"/>
  <c r="C18" i="721"/>
  <c r="B18" i="721"/>
  <c r="C17" i="721"/>
  <c r="B17" i="721"/>
  <c r="C16" i="721"/>
  <c r="B16" i="721"/>
  <c r="C15" i="721"/>
  <c r="B15" i="721"/>
  <c r="C14" i="721"/>
  <c r="B14" i="721"/>
  <c r="C13" i="721"/>
  <c r="B13" i="721"/>
  <c r="C12" i="721"/>
  <c r="B12" i="721"/>
  <c r="J11" i="721"/>
  <c r="M11" i="721" s="1"/>
  <c r="P11" i="721" s="1"/>
  <c r="S11" i="721" s="1"/>
  <c r="V11" i="721" s="1"/>
  <c r="Y11" i="721" s="1"/>
  <c r="C11" i="721"/>
  <c r="B11" i="721"/>
  <c r="C10" i="721"/>
  <c r="B10" i="721"/>
  <c r="C9" i="721"/>
  <c r="B9" i="721"/>
  <c r="C8" i="721"/>
  <c r="B8" i="721"/>
  <c r="C7" i="721"/>
  <c r="B7" i="721"/>
  <c r="C6" i="721"/>
  <c r="B6" i="721"/>
  <c r="F5" i="721" a="1"/>
  <c r="F5" i="721" s="1"/>
  <c r="C5" i="721"/>
  <c r="B5" i="721"/>
  <c r="F4" i="721" a="1"/>
  <c r="F4" i="721" s="1"/>
  <c r="C4" i="721"/>
  <c r="B4" i="721"/>
  <c r="F3" i="721"/>
  <c r="F19" i="717"/>
  <c r="F18" i="717"/>
  <c r="F17" i="717"/>
  <c r="G17" i="717" s="1"/>
  <c r="H17" i="717" s="1"/>
  <c r="I17" i="717" s="1"/>
  <c r="J17" i="717" s="1"/>
  <c r="F16" i="717"/>
  <c r="G16" i="717" s="1"/>
  <c r="H16" i="717" s="1"/>
  <c r="I16" i="717" s="1"/>
  <c r="J16" i="717" s="1"/>
  <c r="G15" i="717"/>
  <c r="H15" i="717" s="1"/>
  <c r="I15" i="717" s="1"/>
  <c r="J15" i="717" s="1"/>
  <c r="F15" i="717"/>
  <c r="G14" i="717"/>
  <c r="H14" i="717" s="1"/>
  <c r="I14" i="717" s="1"/>
  <c r="J14" i="717" s="1"/>
  <c r="F8" i="717"/>
  <c r="F7" i="717"/>
  <c r="F6" i="717"/>
  <c r="G6" i="717" s="1"/>
  <c r="H6" i="717" s="1"/>
  <c r="I6" i="717" s="1"/>
  <c r="J6" i="717" s="1"/>
  <c r="K6" i="717" s="1"/>
  <c r="G5" i="717"/>
  <c r="H5" i="717" s="1"/>
  <c r="I5" i="717" s="1"/>
  <c r="J5" i="717" s="1"/>
  <c r="K5" i="717" s="1"/>
  <c r="F5" i="717"/>
  <c r="F4" i="717"/>
  <c r="G3" i="717"/>
  <c r="H3" i="717" s="1"/>
  <c r="I3" i="717" s="1"/>
  <c r="J3" i="717" s="1"/>
  <c r="K3" i="717" s="1"/>
  <c r="K14" i="719"/>
  <c r="D14" i="719"/>
  <c r="D13" i="719"/>
  <c r="K12" i="719"/>
  <c r="D12" i="719"/>
  <c r="D7" i="719"/>
  <c r="D6" i="719"/>
  <c r="B15" i="720"/>
  <c r="B14" i="720"/>
  <c r="B13" i="720"/>
  <c r="B12" i="720"/>
  <c r="B11" i="720"/>
  <c r="B10" i="720"/>
  <c r="B9" i="720"/>
  <c r="B8" i="720"/>
  <c r="B7" i="720"/>
  <c r="B6" i="720"/>
  <c r="E5" i="720"/>
  <c r="B5" i="720"/>
  <c r="B4" i="720"/>
  <c r="B16" i="720" s="1"/>
  <c r="D5" i="716"/>
  <c r="D4" i="716"/>
  <c r="L8" i="716" s="1"/>
  <c r="D3" i="716"/>
  <c r="F4" i="715"/>
  <c r="F3" i="715"/>
  <c r="K6" i="729" l="1"/>
  <c r="L6" i="729"/>
  <c r="K8" i="729"/>
  <c r="K7" i="729"/>
  <c r="L7" i="729"/>
  <c r="L8" i="729"/>
  <c r="D16" i="719"/>
  <c r="G18" i="717"/>
  <c r="G19" i="717" s="1"/>
  <c r="C22" i="721"/>
  <c r="K8" i="716"/>
  <c r="G7" i="717"/>
  <c r="L5" i="721"/>
  <c r="Q24" i="736"/>
  <c r="B24" i="736"/>
  <c r="A25" i="736"/>
  <c r="C24" i="736"/>
  <c r="C23" i="731"/>
  <c r="A24" i="731"/>
  <c r="B23" i="731"/>
  <c r="E23" i="731"/>
  <c r="D23" i="731"/>
  <c r="E22" i="732"/>
  <c r="D22" i="732"/>
  <c r="C22" i="732"/>
  <c r="B22" i="732"/>
  <c r="A23" i="732"/>
  <c r="G8" i="717"/>
  <c r="B22" i="721"/>
  <c r="D15" i="719"/>
  <c r="F6" i="715"/>
  <c r="D10" i="723"/>
  <c r="A8" i="722"/>
  <c r="H7" i="717"/>
  <c r="I8" i="717" s="1"/>
  <c r="J7" i="717" s="1"/>
  <c r="K8" i="717" s="1"/>
  <c r="H18" i="717"/>
  <c r="H19" i="717" s="1"/>
  <c r="I18" i="717" s="1"/>
  <c r="I19" i="717" s="1"/>
  <c r="J18" i="717" s="1"/>
  <c r="J19" i="717" s="1"/>
  <c r="G4" i="717"/>
  <c r="H4" i="717" s="1"/>
  <c r="I4" i="717" s="1"/>
  <c r="J4" i="717" s="1"/>
  <c r="K4" i="717" s="1"/>
  <c r="E11" i="719"/>
  <c r="E6" i="720"/>
  <c r="G4" i="716"/>
  <c r="I8" i="716"/>
  <c r="D7" i="716"/>
  <c r="J8" i="716"/>
  <c r="G11" i="716"/>
  <c r="H8" i="716"/>
  <c r="G8" i="716"/>
  <c r="F5" i="715"/>
  <c r="B26" i="549"/>
  <c r="B25" i="549"/>
  <c r="B22" i="549"/>
  <c r="B7" i="645"/>
  <c r="B7" i="549"/>
  <c r="Q11" i="729" l="1"/>
  <c r="T11" i="729"/>
  <c r="S11" i="729"/>
  <c r="Q12" i="729"/>
  <c r="T12" i="729"/>
  <c r="S12" i="729"/>
  <c r="B28" i="549"/>
  <c r="B29" i="549" s="1"/>
  <c r="B30" i="549" s="1"/>
  <c r="A26" i="736"/>
  <c r="C25" i="736"/>
  <c r="B25" i="736"/>
  <c r="Q25" i="736"/>
  <c r="D23" i="732"/>
  <c r="C23" i="732"/>
  <c r="A24" i="732"/>
  <c r="B23" i="732"/>
  <c r="E23" i="732"/>
  <c r="A25" i="731"/>
  <c r="B24" i="731"/>
  <c r="E24" i="731"/>
  <c r="D24" i="731"/>
  <c r="C24" i="731"/>
  <c r="H8" i="717"/>
  <c r="I7" i="717" s="1"/>
  <c r="J8" i="717" s="1"/>
  <c r="K7" i="717" s="1"/>
  <c r="A9" i="722"/>
  <c r="E13" i="719"/>
  <c r="E14" i="719"/>
  <c r="E12" i="719"/>
  <c r="E7" i="183"/>
  <c r="O25" i="714"/>
  <c r="Q4" i="714"/>
  <c r="L4" i="714"/>
  <c r="A3" i="714"/>
  <c r="E19" i="548"/>
  <c r="E16" i="719" l="1"/>
  <c r="Q26" i="736"/>
  <c r="A27" i="736"/>
  <c r="C26" i="736"/>
  <c r="B26" i="736"/>
  <c r="C24" i="732"/>
  <c r="A25" i="732"/>
  <c r="B24" i="732"/>
  <c r="E24" i="732"/>
  <c r="D24" i="732"/>
  <c r="E25" i="731"/>
  <c r="D25" i="731"/>
  <c r="C25" i="731"/>
  <c r="B25" i="731"/>
  <c r="A26" i="731"/>
  <c r="A4" i="714"/>
  <c r="L5" i="714"/>
  <c r="Q5" i="714"/>
  <c r="A10" i="722"/>
  <c r="E15" i="719"/>
  <c r="F11" i="719" s="1"/>
  <c r="AI4" i="365"/>
  <c r="AH4" i="365"/>
  <c r="AG4" i="365"/>
  <c r="AF5" i="365"/>
  <c r="AG5" i="365" s="1"/>
  <c r="Y5" i="365"/>
  <c r="AA4" i="365"/>
  <c r="Z4" i="365"/>
  <c r="Y4" i="365"/>
  <c r="X5" i="365"/>
  <c r="Z5" i="365" s="1"/>
  <c r="AI5" i="365" l="1"/>
  <c r="AA5" i="365"/>
  <c r="AH5" i="365"/>
  <c r="Q27" i="736"/>
  <c r="B27" i="736"/>
  <c r="C27" i="736"/>
  <c r="D26" i="731"/>
  <c r="C26" i="731"/>
  <c r="A27" i="731"/>
  <c r="B26" i="731"/>
  <c r="E26" i="731"/>
  <c r="A26" i="732"/>
  <c r="B25" i="732"/>
  <c r="E25" i="732"/>
  <c r="D25" i="732"/>
  <c r="C25" i="732"/>
  <c r="L6" i="714"/>
  <c r="Q6" i="714"/>
  <c r="A5" i="714"/>
  <c r="A11" i="722"/>
  <c r="F14" i="719"/>
  <c r="F12" i="719"/>
  <c r="F13" i="719"/>
  <c r="AF6" i="365"/>
  <c r="X6" i="365"/>
  <c r="H8" i="307"/>
  <c r="H13" i="307" s="1"/>
  <c r="H14" i="307" s="1"/>
  <c r="K13" i="307"/>
  <c r="T4" i="714" l="1"/>
  <c r="S23" i="736"/>
  <c r="S21" i="736"/>
  <c r="T5" i="714"/>
  <c r="T102" i="714"/>
  <c r="F18" i="721"/>
  <c r="I13" i="721" s="1" a="1"/>
  <c r="I13" i="721" s="1"/>
  <c r="O4" i="714"/>
  <c r="S20" i="736"/>
  <c r="O22" i="714"/>
  <c r="S25" i="736"/>
  <c r="T3" i="714"/>
  <c r="H3" i="716"/>
  <c r="O2" i="714"/>
  <c r="S22" i="736"/>
  <c r="D8" i="722"/>
  <c r="D5" i="722"/>
  <c r="D15" i="722"/>
  <c r="D9" i="722"/>
  <c r="D10" i="722"/>
  <c r="D6" i="722"/>
  <c r="D4" i="722"/>
  <c r="V13" i="722" s="1"/>
  <c r="D14" i="722"/>
  <c r="D12" i="722"/>
  <c r="D13" i="722"/>
  <c r="D11" i="722"/>
  <c r="D7" i="722"/>
  <c r="O5" i="714"/>
  <c r="O3" i="714"/>
  <c r="T2" i="714"/>
  <c r="S24" i="736"/>
  <c r="H10" i="307"/>
  <c r="H11" i="307" s="1"/>
  <c r="AA6" i="365"/>
  <c r="Y6" i="365"/>
  <c r="Z6" i="365"/>
  <c r="I7" i="722"/>
  <c r="AH6" i="365"/>
  <c r="AI6" i="365"/>
  <c r="AG6" i="365"/>
  <c r="I10" i="722"/>
  <c r="S26" i="736"/>
  <c r="C27" i="731"/>
  <c r="A28" i="731"/>
  <c r="B27" i="731"/>
  <c r="E27" i="731"/>
  <c r="D27" i="731"/>
  <c r="E26" i="732"/>
  <c r="D26" i="732"/>
  <c r="C26" i="732"/>
  <c r="A27" i="732"/>
  <c r="B26" i="732"/>
  <c r="O6" i="714"/>
  <c r="T6" i="714"/>
  <c r="F16" i="719"/>
  <c r="L7" i="714"/>
  <c r="F15" i="719"/>
  <c r="Q7" i="714"/>
  <c r="A6" i="714"/>
  <c r="A12" i="722"/>
  <c r="AF7" i="365"/>
  <c r="X7" i="365"/>
  <c r="K8" i="307"/>
  <c r="K9" i="307" s="1"/>
  <c r="K11" i="307" s="1"/>
  <c r="N14" i="713"/>
  <c r="M21" i="713"/>
  <c r="N21" i="713"/>
  <c r="K10" i="713"/>
  <c r="K11" i="713" s="1"/>
  <c r="K12" i="713" s="1"/>
  <c r="K13" i="713" s="1"/>
  <c r="K14" i="713" s="1"/>
  <c r="K15" i="713" s="1"/>
  <c r="K16" i="713" s="1"/>
  <c r="K17" i="713" s="1"/>
  <c r="K18" i="713" s="1"/>
  <c r="K19" i="713" s="1"/>
  <c r="K20" i="713" s="1"/>
  <c r="K21" i="713" s="1"/>
  <c r="M4" i="713"/>
  <c r="N4" i="713"/>
  <c r="M5" i="713"/>
  <c r="N5" i="713"/>
  <c r="L5" i="713"/>
  <c r="L4" i="713"/>
  <c r="L12" i="713" s="1"/>
  <c r="M3" i="713"/>
  <c r="N3" i="713"/>
  <c r="L3" i="713"/>
  <c r="H11" i="713"/>
  <c r="I11" i="713"/>
  <c r="H12" i="713"/>
  <c r="I12" i="713"/>
  <c r="H13" i="713"/>
  <c r="H14" i="713" s="1" a="1"/>
  <c r="H14" i="713" s="1"/>
  <c r="H8" i="713" s="1"/>
  <c r="I13" i="713"/>
  <c r="H15" i="713"/>
  <c r="I15" i="713"/>
  <c r="G15" i="713"/>
  <c r="G13" i="713"/>
  <c r="G7" i="713" s="1"/>
  <c r="G12" i="713"/>
  <c r="G11" i="713"/>
  <c r="H3" i="713"/>
  <c r="I3" i="713"/>
  <c r="G3" i="713"/>
  <c r="A5" i="713"/>
  <c r="A6" i="713" s="1"/>
  <c r="A7" i="713" s="1"/>
  <c r="A8" i="713" s="1"/>
  <c r="A9" i="713" s="1"/>
  <c r="A10" i="713" s="1"/>
  <c r="A11" i="713" s="1"/>
  <c r="A12" i="713" s="1"/>
  <c r="A13" i="713" s="1"/>
  <c r="A14" i="713" s="1"/>
  <c r="A15" i="713" s="1"/>
  <c r="A16" i="713" s="1"/>
  <c r="H5" i="716"/>
  <c r="J13" i="721" l="1"/>
  <c r="H11" i="716"/>
  <c r="H4" i="716"/>
  <c r="I3" i="716" s="1"/>
  <c r="Y7" i="365"/>
  <c r="Z7" i="365"/>
  <c r="AA7" i="365"/>
  <c r="I6" i="713"/>
  <c r="H7" i="713"/>
  <c r="N10" i="713"/>
  <c r="AI7" i="365"/>
  <c r="AG7" i="365"/>
  <c r="AH7" i="365"/>
  <c r="G11" i="719"/>
  <c r="G14" i="713" a="1"/>
  <c r="G14" i="713" s="1"/>
  <c r="G8" i="713" s="1"/>
  <c r="G6" i="713"/>
  <c r="H6" i="713"/>
  <c r="S27" i="736"/>
  <c r="A29" i="731"/>
  <c r="B28" i="731"/>
  <c r="E28" i="731"/>
  <c r="D28" i="731"/>
  <c r="C28" i="731"/>
  <c r="D27" i="732"/>
  <c r="C27" i="732"/>
  <c r="A28" i="732"/>
  <c r="B27" i="732"/>
  <c r="E27" i="732"/>
  <c r="T7" i="714"/>
  <c r="O7" i="714"/>
  <c r="G13" i="719"/>
  <c r="Q8" i="714"/>
  <c r="L8" i="714"/>
  <c r="A7" i="714"/>
  <c r="A13" i="722"/>
  <c r="AF8" i="365"/>
  <c r="X8" i="365"/>
  <c r="L19" i="713"/>
  <c r="L15" i="713"/>
  <c r="L11" i="713"/>
  <c r="M10" i="713"/>
  <c r="L18" i="713"/>
  <c r="L14" i="713"/>
  <c r="L10" i="713"/>
  <c r="G5" i="713"/>
  <c r="N9" i="713"/>
  <c r="L9" i="713"/>
  <c r="L21" i="713"/>
  <c r="L17" i="713"/>
  <c r="L13" i="713"/>
  <c r="L20" i="713"/>
  <c r="L16" i="713"/>
  <c r="O21" i="713"/>
  <c r="I7" i="713"/>
  <c r="N17" i="713"/>
  <c r="N11" i="713"/>
  <c r="I14" i="713" a="1"/>
  <c r="I14" i="713" s="1"/>
  <c r="I8" i="713" s="1"/>
  <c r="M19" i="713"/>
  <c r="M17" i="713"/>
  <c r="M15" i="713"/>
  <c r="M13" i="713"/>
  <c r="M11" i="713"/>
  <c r="M9" i="713"/>
  <c r="N19" i="713"/>
  <c r="N15" i="713"/>
  <c r="N13" i="713"/>
  <c r="I10" i="713" a="1"/>
  <c r="I10" i="713" s="1"/>
  <c r="I5" i="713" s="1"/>
  <c r="N20" i="713"/>
  <c r="N18" i="713"/>
  <c r="N16" i="713"/>
  <c r="N12" i="713"/>
  <c r="H10" i="713" a="1"/>
  <c r="H10" i="713" s="1"/>
  <c r="M20" i="713"/>
  <c r="M18" i="713"/>
  <c r="M16" i="713"/>
  <c r="M14" i="713"/>
  <c r="O14" i="713" s="1"/>
  <c r="M12" i="713"/>
  <c r="G10" i="713" a="1"/>
  <c r="G10" i="713" s="1"/>
  <c r="J15" i="721"/>
  <c r="I17" i="721"/>
  <c r="I15" i="721"/>
  <c r="J18" i="721"/>
  <c r="I5" i="716"/>
  <c r="J17" i="721"/>
  <c r="I18" i="721" l="1"/>
  <c r="L13" i="721" s="1" a="1"/>
  <c r="L13" i="721" s="1"/>
  <c r="D9" i="724"/>
  <c r="D10" i="724" s="1"/>
  <c r="D11" i="724" s="1"/>
  <c r="I4" i="716"/>
  <c r="I11" i="716"/>
  <c r="Y8" i="365"/>
  <c r="Z8" i="365"/>
  <c r="AA8" i="365"/>
  <c r="O10" i="713"/>
  <c r="AG8" i="365"/>
  <c r="AH8" i="365"/>
  <c r="AI8" i="365"/>
  <c r="G16" i="719"/>
  <c r="O18" i="713"/>
  <c r="G14" i="719"/>
  <c r="G12" i="719"/>
  <c r="M13" i="721"/>
  <c r="C28" i="732"/>
  <c r="A29" i="732"/>
  <c r="B28" i="732"/>
  <c r="E28" i="732"/>
  <c r="D28" i="732"/>
  <c r="E29" i="731"/>
  <c r="D29" i="731"/>
  <c r="C29" i="731"/>
  <c r="A30" i="731"/>
  <c r="B29" i="731"/>
  <c r="O8" i="714"/>
  <c r="T8" i="714"/>
  <c r="G15" i="719"/>
  <c r="A8" i="714"/>
  <c r="L9" i="714"/>
  <c r="Q9" i="714"/>
  <c r="A14" i="722"/>
  <c r="AF9" i="365"/>
  <c r="X9" i="365"/>
  <c r="N6" i="713"/>
  <c r="O17" i="713"/>
  <c r="N8" i="713"/>
  <c r="O11" i="713"/>
  <c r="O19" i="713"/>
  <c r="L8" i="713"/>
  <c r="L7" i="713"/>
  <c r="L6" i="713"/>
  <c r="O12" i="713"/>
  <c r="O20" i="713"/>
  <c r="G17" i="713"/>
  <c r="G4" i="713" s="1"/>
  <c r="O13" i="713"/>
  <c r="N7" i="713"/>
  <c r="O16" i="713"/>
  <c r="H5" i="713"/>
  <c r="O15" i="713"/>
  <c r="M7" i="713"/>
  <c r="M8" i="713"/>
  <c r="O9" i="713"/>
  <c r="M6" i="713"/>
  <c r="D13" i="712"/>
  <c r="D12" i="712"/>
  <c r="D11" i="712"/>
  <c r="D10" i="712"/>
  <c r="D9" i="712"/>
  <c r="D8" i="712"/>
  <c r="E7" i="712"/>
  <c r="D7" i="712"/>
  <c r="D6" i="712"/>
  <c r="D5" i="712"/>
  <c r="D4" i="712"/>
  <c r="J3" i="716" l="1"/>
  <c r="J4" i="716" s="1"/>
  <c r="E4" i="712"/>
  <c r="AG9" i="365"/>
  <c r="AH9" i="365"/>
  <c r="AI9" i="365"/>
  <c r="E6" i="712"/>
  <c r="E12" i="712"/>
  <c r="H11" i="719"/>
  <c r="Z9" i="365"/>
  <c r="AA9" i="365"/>
  <c r="Y9" i="365"/>
  <c r="E8" i="712"/>
  <c r="E11" i="712"/>
  <c r="E10" i="712"/>
  <c r="A30" i="732"/>
  <c r="B29" i="732"/>
  <c r="E29" i="732"/>
  <c r="D29" i="732"/>
  <c r="C29" i="732"/>
  <c r="D30" i="731"/>
  <c r="C30" i="731"/>
  <c r="A31" i="731"/>
  <c r="B30" i="731"/>
  <c r="E30" i="731"/>
  <c r="T9" i="714"/>
  <c r="O9" i="714"/>
  <c r="A9" i="714"/>
  <c r="H13" i="719"/>
  <c r="H15" i="719" s="1"/>
  <c r="H14" i="719"/>
  <c r="H12" i="719"/>
  <c r="D5" i="719" s="1"/>
  <c r="D4" i="719"/>
  <c r="Q10" i="714"/>
  <c r="L10" i="714"/>
  <c r="A15" i="722"/>
  <c r="AF10" i="365"/>
  <c r="X10" i="365"/>
  <c r="H4" i="713"/>
  <c r="I4" i="713"/>
  <c r="E5" i="712"/>
  <c r="E9" i="712"/>
  <c r="E13" i="712"/>
  <c r="E15" i="712"/>
  <c r="F12" i="710"/>
  <c r="E12" i="710"/>
  <c r="K9" i="710"/>
  <c r="F6" i="710"/>
  <c r="E6" i="710"/>
  <c r="F5" i="710"/>
  <c r="E5" i="710"/>
  <c r="F4" i="710"/>
  <c r="F8" i="710" s="1"/>
  <c r="E4" i="710"/>
  <c r="E8" i="710" s="1"/>
  <c r="G5" i="711"/>
  <c r="G6" i="711" s="1"/>
  <c r="D5" i="711"/>
  <c r="G4" i="711"/>
  <c r="G3" i="711"/>
  <c r="G10" i="711" s="1"/>
  <c r="G13" i="711" s="1"/>
  <c r="M17" i="721"/>
  <c r="L15" i="721"/>
  <c r="M18" i="721"/>
  <c r="J5" i="716"/>
  <c r="L17" i="721"/>
  <c r="M15" i="721"/>
  <c r="J11" i="716" l="1"/>
  <c r="AH10" i="365"/>
  <c r="AI10" i="365"/>
  <c r="AG10" i="365"/>
  <c r="AA10" i="365"/>
  <c r="Y10" i="365"/>
  <c r="Z10" i="365"/>
  <c r="F7" i="710"/>
  <c r="L18" i="721"/>
  <c r="O13" i="721" s="1" a="1"/>
  <c r="K3" i="716"/>
  <c r="C31" i="731"/>
  <c r="A32" i="731"/>
  <c r="B31" i="731"/>
  <c r="E31" i="731"/>
  <c r="D31" i="731"/>
  <c r="E30" i="732"/>
  <c r="D30" i="732"/>
  <c r="C30" i="732"/>
  <c r="B30" i="732"/>
  <c r="A31" i="732"/>
  <c r="T10" i="714"/>
  <c r="O10" i="714"/>
  <c r="Q11" i="714"/>
  <c r="E7" i="710"/>
  <c r="K4" i="710" s="1"/>
  <c r="L11" i="714"/>
  <c r="D3" i="719"/>
  <c r="K10" i="719" s="1"/>
  <c r="K11" i="719"/>
  <c r="K13" i="719" s="1"/>
  <c r="L13" i="719" s="1"/>
  <c r="D8" i="719"/>
  <c r="K16" i="719" s="1"/>
  <c r="A10" i="714"/>
  <c r="H16" i="719"/>
  <c r="E4" i="722"/>
  <c r="F4" i="722" s="1"/>
  <c r="E15" i="722"/>
  <c r="F15" i="722" s="1"/>
  <c r="E6" i="722"/>
  <c r="F6" i="722" s="1"/>
  <c r="E5" i="722"/>
  <c r="F5" i="722" s="1"/>
  <c r="E7" i="722"/>
  <c r="F7" i="722" s="1"/>
  <c r="E8" i="722"/>
  <c r="F8" i="722" s="1"/>
  <c r="E9" i="722"/>
  <c r="F9" i="722" s="1"/>
  <c r="E10" i="722"/>
  <c r="F10" i="722" s="1"/>
  <c r="E11" i="722"/>
  <c r="F11" i="722" s="1"/>
  <c r="E12" i="722"/>
  <c r="F12" i="722" s="1"/>
  <c r="E13" i="722"/>
  <c r="F13" i="722" s="1"/>
  <c r="E14" i="722"/>
  <c r="F14" i="722" s="1"/>
  <c r="AF11" i="365"/>
  <c r="X11" i="365"/>
  <c r="F16" i="710"/>
  <c r="E16" i="710"/>
  <c r="D9" i="711"/>
  <c r="G15" i="711"/>
  <c r="G7" i="711"/>
  <c r="G8" i="711" s="1"/>
  <c r="G9" i="711" s="1"/>
  <c r="G11" i="711" s="1"/>
  <c r="G14" i="711"/>
  <c r="K5" i="716"/>
  <c r="K3" i="710" l="1"/>
  <c r="K5" i="710" s="1"/>
  <c r="AI11" i="365"/>
  <c r="AG11" i="365"/>
  <c r="AH11" i="365"/>
  <c r="Y11" i="365"/>
  <c r="Z11" i="365"/>
  <c r="AA11" i="365"/>
  <c r="K4" i="716"/>
  <c r="K11" i="716"/>
  <c r="O13" i="721"/>
  <c r="P13" i="721"/>
  <c r="D31" i="732"/>
  <c r="C31" i="732"/>
  <c r="A32" i="732"/>
  <c r="B31" i="732"/>
  <c r="E31" i="732"/>
  <c r="A33" i="731"/>
  <c r="B32" i="731"/>
  <c r="E32" i="731"/>
  <c r="D32" i="731"/>
  <c r="C32" i="731"/>
  <c r="T11" i="714"/>
  <c r="O11" i="714"/>
  <c r="Q12" i="714"/>
  <c r="K10" i="710"/>
  <c r="K12" i="710" s="1"/>
  <c r="K15" i="719"/>
  <c r="L15" i="719" s="1"/>
  <c r="A11" i="714"/>
  <c r="L12" i="714"/>
  <c r="W15" i="722"/>
  <c r="I3" i="722"/>
  <c r="I19" i="722" s="1"/>
  <c r="I13" i="722"/>
  <c r="I4" i="722"/>
  <c r="V9" i="722"/>
  <c r="M18" i="722" a="1"/>
  <c r="AF12" i="365"/>
  <c r="X12" i="365"/>
  <c r="K6" i="710"/>
  <c r="K7" i="710" s="1"/>
  <c r="C9" i="708"/>
  <c r="H9" i="708"/>
  <c r="I9" i="708" s="1"/>
  <c r="G9" i="708"/>
  <c r="F9" i="708"/>
  <c r="H5" i="708"/>
  <c r="H6" i="708"/>
  <c r="H7" i="708" s="1"/>
  <c r="H4" i="708"/>
  <c r="G5" i="708"/>
  <c r="I5" i="708" s="1"/>
  <c r="G6" i="708"/>
  <c r="G4" i="708"/>
  <c r="G7" i="708" s="1"/>
  <c r="F5" i="708"/>
  <c r="F6" i="708"/>
  <c r="F4" i="708"/>
  <c r="F7" i="708" s="1"/>
  <c r="C7" i="708" s="1"/>
  <c r="D9" i="708" s="1"/>
  <c r="B7" i="708"/>
  <c r="I6" i="708" l="1"/>
  <c r="AG12" i="365"/>
  <c r="AH12" i="365"/>
  <c r="AI12" i="365"/>
  <c r="Y12" i="365"/>
  <c r="Z12" i="365"/>
  <c r="AA12" i="365"/>
  <c r="I4" i="708"/>
  <c r="I7" i="708" s="1"/>
  <c r="D7" i="708" s="1"/>
  <c r="L3" i="716"/>
  <c r="C32" i="732"/>
  <c r="A33" i="732"/>
  <c r="B32" i="732"/>
  <c r="E32" i="732"/>
  <c r="D32" i="732"/>
  <c r="E33" i="731"/>
  <c r="D33" i="731"/>
  <c r="C33" i="731"/>
  <c r="A34" i="731"/>
  <c r="B33" i="731"/>
  <c r="O12" i="714"/>
  <c r="T12" i="714"/>
  <c r="L13" i="714"/>
  <c r="A12" i="714"/>
  <c r="Q13" i="714"/>
  <c r="K11" i="710"/>
  <c r="I24" i="722"/>
  <c r="I5" i="722"/>
  <c r="I18" i="722" s="1"/>
  <c r="M22" i="722"/>
  <c r="M20" i="722"/>
  <c r="M18" i="722"/>
  <c r="M21" i="722"/>
  <c r="M19" i="722"/>
  <c r="N21" i="722"/>
  <c r="N19" i="722"/>
  <c r="N18" i="722"/>
  <c r="N22" i="722"/>
  <c r="N20" i="722"/>
  <c r="X18" i="722"/>
  <c r="X19" i="722"/>
  <c r="V15" i="722"/>
  <c r="V14" i="722" s="1"/>
  <c r="Z18" i="722" s="1"/>
  <c r="AF13" i="365"/>
  <c r="X13" i="365"/>
  <c r="P18" i="721"/>
  <c r="O17" i="721"/>
  <c r="P15" i="721"/>
  <c r="L5" i="716"/>
  <c r="O15" i="721"/>
  <c r="P17" i="721"/>
  <c r="Z13" i="365" l="1"/>
  <c r="AA13" i="365"/>
  <c r="Y13" i="365"/>
  <c r="AG13" i="365"/>
  <c r="AH13" i="365"/>
  <c r="AI13" i="365"/>
  <c r="O18" i="721"/>
  <c r="R13" i="721" s="1" a="1"/>
  <c r="L11" i="716"/>
  <c r="L4" i="716"/>
  <c r="A34" i="732"/>
  <c r="B33" i="732"/>
  <c r="E33" i="732"/>
  <c r="D33" i="732"/>
  <c r="C33" i="732"/>
  <c r="D34" i="731"/>
  <c r="C34" i="731"/>
  <c r="A35" i="731"/>
  <c r="B34" i="731"/>
  <c r="E34" i="731"/>
  <c r="O13" i="714"/>
  <c r="T13" i="714"/>
  <c r="L14" i="714"/>
  <c r="A13" i="714"/>
  <c r="Q14" i="714"/>
  <c r="I8" i="722"/>
  <c r="I11" i="722" s="1"/>
  <c r="V6" i="722"/>
  <c r="X13" i="722"/>
  <c r="W14" i="722"/>
  <c r="Y19" i="722"/>
  <c r="Y18" i="722"/>
  <c r="I21" i="722"/>
  <c r="I23" i="722" s="1"/>
  <c r="AA19" i="722"/>
  <c r="AA18" i="722"/>
  <c r="Z19" i="722"/>
  <c r="AF14" i="365"/>
  <c r="X14" i="365"/>
  <c r="A5" i="703"/>
  <c r="A6" i="703" s="1"/>
  <c r="A7" i="703" s="1"/>
  <c r="A8" i="703" s="1"/>
  <c r="A9" i="703" s="1"/>
  <c r="A10" i="703" s="1"/>
  <c r="A11" i="703" s="1"/>
  <c r="A12" i="703" s="1"/>
  <c r="A13" i="703" s="1"/>
  <c r="A14" i="703" s="1"/>
  <c r="A15" i="703" s="1"/>
  <c r="E4" i="703"/>
  <c r="H3" i="703"/>
  <c r="E3" i="703"/>
  <c r="G5" i="704"/>
  <c r="G6" i="704" s="1"/>
  <c r="G7" i="704" s="1"/>
  <c r="A5" i="704"/>
  <c r="A6" i="704" s="1"/>
  <c r="A7" i="704" s="1"/>
  <c r="A8" i="704" s="1"/>
  <c r="A9" i="704" s="1"/>
  <c r="A10" i="704" s="1"/>
  <c r="A11" i="704" s="1"/>
  <c r="A12" i="704" s="1"/>
  <c r="A13" i="704" s="1"/>
  <c r="E3" i="704"/>
  <c r="E4" i="704" s="1"/>
  <c r="P3" i="704" s="1"/>
  <c r="AA14" i="365" l="1"/>
  <c r="Y14" i="365"/>
  <c r="Z14" i="365"/>
  <c r="E6" i="703"/>
  <c r="AH14" i="365"/>
  <c r="AI14" i="365"/>
  <c r="AG14" i="365"/>
  <c r="S13" i="721"/>
  <c r="R13" i="721"/>
  <c r="C35" i="731"/>
  <c r="A36" i="731"/>
  <c r="B35" i="731"/>
  <c r="E35" i="731"/>
  <c r="D35" i="731"/>
  <c r="E34" i="732"/>
  <c r="D34" i="732"/>
  <c r="C34" i="732"/>
  <c r="A35" i="732"/>
  <c r="B34" i="732"/>
  <c r="O14" i="714"/>
  <c r="T14" i="714"/>
  <c r="A14" i="714"/>
  <c r="L15" i="714"/>
  <c r="Q15" i="714"/>
  <c r="X14" i="722"/>
  <c r="V8" i="722" s="1"/>
  <c r="Y5" i="722"/>
  <c r="Y6" i="722" s="1"/>
  <c r="Y7" i="722"/>
  <c r="V7" i="722"/>
  <c r="V5" i="722"/>
  <c r="AF15" i="365"/>
  <c r="X15" i="365"/>
  <c r="K13" i="704"/>
  <c r="K9" i="704"/>
  <c r="K5" i="704"/>
  <c r="K10" i="704"/>
  <c r="K6" i="704"/>
  <c r="K12" i="704"/>
  <c r="K8" i="704"/>
  <c r="K4" i="704"/>
  <c r="K11" i="704"/>
  <c r="K7" i="704"/>
  <c r="G8" i="704"/>
  <c r="Q4" i="413"/>
  <c r="Q5" i="413"/>
  <c r="Q6" i="413"/>
  <c r="Q7" i="413"/>
  <c r="Q8" i="413"/>
  <c r="Q9" i="413"/>
  <c r="Q10" i="413"/>
  <c r="Q11" i="413"/>
  <c r="Q12" i="413"/>
  <c r="Q13" i="413"/>
  <c r="Q14" i="413"/>
  <c r="Q15" i="413"/>
  <c r="Q16" i="413"/>
  <c r="Q17" i="413"/>
  <c r="Q18" i="413"/>
  <c r="Q19" i="413"/>
  <c r="Q20" i="413"/>
  <c r="Q21" i="413"/>
  <c r="Q22" i="413"/>
  <c r="Q3" i="413"/>
  <c r="P4" i="413"/>
  <c r="P5" i="413"/>
  <c r="P6" i="413"/>
  <c r="P7" i="413"/>
  <c r="P8" i="413"/>
  <c r="P9" i="413"/>
  <c r="P10" i="413"/>
  <c r="P11" i="413"/>
  <c r="P12" i="413"/>
  <c r="P13" i="413"/>
  <c r="P14" i="413"/>
  <c r="P15" i="413"/>
  <c r="P16" i="413"/>
  <c r="P17" i="413"/>
  <c r="P18" i="413"/>
  <c r="P19" i="413"/>
  <c r="P20" i="413"/>
  <c r="P21" i="413"/>
  <c r="P22" i="413"/>
  <c r="P3" i="413"/>
  <c r="O4" i="413"/>
  <c r="O5" i="413"/>
  <c r="O6" i="413"/>
  <c r="O7" i="413"/>
  <c r="O8" i="413"/>
  <c r="O9" i="413"/>
  <c r="O10" i="413"/>
  <c r="O11" i="413"/>
  <c r="O12" i="413"/>
  <c r="O13" i="413"/>
  <c r="O14" i="413"/>
  <c r="O15" i="413"/>
  <c r="O16" i="413"/>
  <c r="O17" i="413"/>
  <c r="O18" i="413"/>
  <c r="O19" i="413"/>
  <c r="O20" i="413"/>
  <c r="O21" i="413"/>
  <c r="O22" i="413"/>
  <c r="O3" i="413"/>
  <c r="N4" i="413"/>
  <c r="N5" i="413"/>
  <c r="N6" i="413"/>
  <c r="N7" i="413"/>
  <c r="N8" i="413"/>
  <c r="N9" i="413"/>
  <c r="N10" i="413"/>
  <c r="N11" i="413"/>
  <c r="N12" i="413"/>
  <c r="N13" i="413"/>
  <c r="N14" i="413"/>
  <c r="N15" i="413"/>
  <c r="N16" i="413"/>
  <c r="N17" i="413"/>
  <c r="N18" i="413"/>
  <c r="N19" i="413"/>
  <c r="N20" i="413"/>
  <c r="N21" i="413"/>
  <c r="N22" i="413"/>
  <c r="N3" i="413"/>
  <c r="M4" i="413"/>
  <c r="M5" i="413"/>
  <c r="M6" i="413"/>
  <c r="M7" i="413"/>
  <c r="M8" i="413"/>
  <c r="M9" i="413"/>
  <c r="M10" i="413"/>
  <c r="M11" i="413"/>
  <c r="M12" i="413"/>
  <c r="M13" i="413"/>
  <c r="M14" i="413"/>
  <c r="M15" i="413"/>
  <c r="M16" i="413"/>
  <c r="M17" i="413"/>
  <c r="M18" i="413"/>
  <c r="M19" i="413"/>
  <c r="M20" i="413"/>
  <c r="M21" i="413"/>
  <c r="M22" i="413"/>
  <c r="M3" i="413"/>
  <c r="L4" i="413"/>
  <c r="L5" i="413"/>
  <c r="L6" i="413"/>
  <c r="L7" i="413"/>
  <c r="L8" i="413"/>
  <c r="L9" i="413"/>
  <c r="L10" i="413"/>
  <c r="L11" i="413"/>
  <c r="L12" i="413"/>
  <c r="L13" i="413"/>
  <c r="L14" i="413"/>
  <c r="L15" i="413"/>
  <c r="L16" i="413"/>
  <c r="L17" i="413"/>
  <c r="L18" i="413"/>
  <c r="L19" i="413"/>
  <c r="L20" i="413"/>
  <c r="L21" i="413"/>
  <c r="L22" i="413"/>
  <c r="L3" i="413"/>
  <c r="Y15" i="365" l="1"/>
  <c r="Z15" i="365"/>
  <c r="AA15" i="365"/>
  <c r="AI15" i="365"/>
  <c r="AG15" i="365"/>
  <c r="AH15" i="365"/>
  <c r="A37" i="731"/>
  <c r="B36" i="731"/>
  <c r="E36" i="731"/>
  <c r="D36" i="731"/>
  <c r="C36" i="731"/>
  <c r="D35" i="732"/>
  <c r="C35" i="732"/>
  <c r="A36" i="732"/>
  <c r="B35" i="732"/>
  <c r="E35" i="732"/>
  <c r="O15" i="714"/>
  <c r="T15" i="714"/>
  <c r="L16" i="714"/>
  <c r="A15" i="714"/>
  <c r="Q16" i="714"/>
  <c r="Y13" i="722"/>
  <c r="Z13" i="722" s="1"/>
  <c r="AA13" i="722" s="1"/>
  <c r="AF16" i="365"/>
  <c r="X16" i="365"/>
  <c r="G9" i="704"/>
  <c r="J6" i="700"/>
  <c r="J10" i="700" s="1"/>
  <c r="G4" i="700"/>
  <c r="E5" i="700" s="1"/>
  <c r="J5" i="700"/>
  <c r="B18" i="701"/>
  <c r="B22" i="701" s="1"/>
  <c r="B17" i="701"/>
  <c r="F21" i="701" s="1"/>
  <c r="J8" i="701"/>
  <c r="B8" i="701"/>
  <c r="N5" i="701"/>
  <c r="M5" i="701"/>
  <c r="L5" i="701"/>
  <c r="K5" i="701"/>
  <c r="J5" i="701"/>
  <c r="F5" i="701"/>
  <c r="E5" i="701"/>
  <c r="D5" i="701"/>
  <c r="C5" i="701"/>
  <c r="B5" i="701"/>
  <c r="O4" i="701"/>
  <c r="G4" i="701"/>
  <c r="G5" i="701" s="1"/>
  <c r="B12" i="702"/>
  <c r="K9" i="702"/>
  <c r="B9" i="702"/>
  <c r="P4" i="702"/>
  <c r="G4" i="702"/>
  <c r="O5" i="702" s="1"/>
  <c r="O6" i="702" s="1"/>
  <c r="S17" i="721"/>
  <c r="R15" i="721"/>
  <c r="R17" i="721"/>
  <c r="S15" i="721"/>
  <c r="S18" i="721"/>
  <c r="AG16" i="365" l="1"/>
  <c r="AH16" i="365"/>
  <c r="AI16" i="365"/>
  <c r="Y16" i="365"/>
  <c r="Z16" i="365"/>
  <c r="AA16" i="365"/>
  <c r="G21" i="701"/>
  <c r="G23" i="701" s="1"/>
  <c r="R18" i="721"/>
  <c r="U13" i="721" s="1" a="1"/>
  <c r="C36" i="732"/>
  <c r="A37" i="732"/>
  <c r="B36" i="732"/>
  <c r="E36" i="732"/>
  <c r="D36" i="732"/>
  <c r="E37" i="731"/>
  <c r="D37" i="731"/>
  <c r="C37" i="731"/>
  <c r="A38" i="731"/>
  <c r="B37" i="731"/>
  <c r="O16" i="714"/>
  <c r="T16" i="714"/>
  <c r="A16" i="714"/>
  <c r="L17" i="714"/>
  <c r="Q17" i="714"/>
  <c r="AF17" i="365"/>
  <c r="X17" i="365"/>
  <c r="G10" i="704"/>
  <c r="B5" i="700"/>
  <c r="B7" i="701"/>
  <c r="B21" i="701"/>
  <c r="B23" i="701" s="1"/>
  <c r="K10" i="700"/>
  <c r="F5" i="700"/>
  <c r="C21" i="701" a="1"/>
  <c r="C21" i="701" s="1"/>
  <c r="K9" i="700" a="1"/>
  <c r="K9" i="700" s="1"/>
  <c r="C5" i="700"/>
  <c r="D5" i="700"/>
  <c r="B7" i="700" s="1"/>
  <c r="E7" i="700"/>
  <c r="N9" i="700"/>
  <c r="J9" i="700"/>
  <c r="J11" i="700" s="1"/>
  <c r="O9" i="700"/>
  <c r="F23" i="701"/>
  <c r="F22" i="701"/>
  <c r="B9" i="701"/>
  <c r="C22" i="701"/>
  <c r="B10" i="701"/>
  <c r="B11" i="701" s="1"/>
  <c r="O5" i="701"/>
  <c r="J7" i="701" s="1"/>
  <c r="J10" i="701"/>
  <c r="J9" i="701"/>
  <c r="G22" i="701"/>
  <c r="B5" i="702"/>
  <c r="F5" i="702"/>
  <c r="F6" i="702" s="1"/>
  <c r="N5" i="702"/>
  <c r="N6" i="702" s="1"/>
  <c r="D5" i="702"/>
  <c r="D6" i="702" s="1"/>
  <c r="L5" i="702"/>
  <c r="L6" i="702" s="1"/>
  <c r="E5" i="702"/>
  <c r="E6" i="702" s="1"/>
  <c r="M5" i="702"/>
  <c r="M6" i="702" s="1"/>
  <c r="C5" i="702"/>
  <c r="C6" i="702" s="1"/>
  <c r="K5" i="702"/>
  <c r="Z17" i="365" l="1"/>
  <c r="AA17" i="365"/>
  <c r="Y17" i="365"/>
  <c r="B12" i="701"/>
  <c r="AG17" i="365"/>
  <c r="AH17" i="365"/>
  <c r="AI17" i="365"/>
  <c r="C23" i="701"/>
  <c r="K11" i="700"/>
  <c r="U13" i="721"/>
  <c r="V13" i="721"/>
  <c r="I4" i="721" s="1"/>
  <c r="A38" i="732"/>
  <c r="B37" i="732"/>
  <c r="E37" i="732"/>
  <c r="D37" i="732"/>
  <c r="C37" i="732"/>
  <c r="D38" i="731"/>
  <c r="C38" i="731"/>
  <c r="A39" i="731"/>
  <c r="B38" i="731"/>
  <c r="E38" i="731"/>
  <c r="O17" i="714"/>
  <c r="T17" i="714"/>
  <c r="L18" i="714"/>
  <c r="A17" i="714"/>
  <c r="Q18" i="714"/>
  <c r="AF18" i="365"/>
  <c r="X18" i="365"/>
  <c r="G11" i="704"/>
  <c r="J11" i="701"/>
  <c r="J12" i="701" s="1"/>
  <c r="B9" i="700"/>
  <c r="B8" i="700"/>
  <c r="O11" i="700"/>
  <c r="O10" i="700"/>
  <c r="N11" i="700"/>
  <c r="N10" i="700"/>
  <c r="E9" i="700"/>
  <c r="E8" i="700"/>
  <c r="K6" i="702"/>
  <c r="K8" i="702" s="1"/>
  <c r="K10" i="702" s="1"/>
  <c r="B6" i="702"/>
  <c r="B8" i="702" s="1"/>
  <c r="B10" i="702" s="1"/>
  <c r="F5" i="699"/>
  <c r="F6" i="699" s="1"/>
  <c r="A5" i="699"/>
  <c r="A6" i="699" s="1"/>
  <c r="I4" i="699"/>
  <c r="D4" i="699"/>
  <c r="AA18" i="365" l="1"/>
  <c r="Y18" i="365"/>
  <c r="Z18" i="365"/>
  <c r="AH18" i="365"/>
  <c r="AI18" i="365"/>
  <c r="AG18" i="365"/>
  <c r="I3" i="721"/>
  <c r="I5" i="721" s="1"/>
  <c r="C39" i="731"/>
  <c r="A40" i="731"/>
  <c r="B39" i="731"/>
  <c r="E39" i="731"/>
  <c r="D39" i="731"/>
  <c r="E38" i="732"/>
  <c r="D38" i="732"/>
  <c r="C38" i="732"/>
  <c r="B38" i="732"/>
  <c r="A39" i="732"/>
  <c r="O18" i="714"/>
  <c r="T18" i="714"/>
  <c r="A18" i="714"/>
  <c r="L19" i="714"/>
  <c r="Q19" i="714"/>
  <c r="AF19" i="365"/>
  <c r="X19" i="365"/>
  <c r="G12" i="704"/>
  <c r="H5" i="699"/>
  <c r="C6" i="699"/>
  <c r="A7" i="699"/>
  <c r="D6" i="699"/>
  <c r="F7" i="699"/>
  <c r="I6" i="699"/>
  <c r="H6" i="699"/>
  <c r="C5" i="699"/>
  <c r="I5" i="699"/>
  <c r="D5" i="699"/>
  <c r="V15" i="721"/>
  <c r="U17" i="721"/>
  <c r="U15" i="721"/>
  <c r="V18" i="721"/>
  <c r="V17" i="721"/>
  <c r="Y19" i="365" l="1"/>
  <c r="Z19" i="365"/>
  <c r="AA19" i="365"/>
  <c r="AI19" i="365"/>
  <c r="AG19" i="365"/>
  <c r="AH19" i="365"/>
  <c r="U18" i="721"/>
  <c r="X13" i="721" s="1" a="1"/>
  <c r="D39" i="732"/>
  <c r="C39" i="732"/>
  <c r="A40" i="732"/>
  <c r="B39" i="732"/>
  <c r="E39" i="732"/>
  <c r="A41" i="731"/>
  <c r="B40" i="731"/>
  <c r="E40" i="731"/>
  <c r="D40" i="731"/>
  <c r="C40" i="731"/>
  <c r="O19" i="714"/>
  <c r="T19" i="714"/>
  <c r="L20" i="714"/>
  <c r="A19" i="714"/>
  <c r="Q20" i="714"/>
  <c r="AF20" i="365"/>
  <c r="X20" i="365"/>
  <c r="G13" i="704"/>
  <c r="F8" i="699"/>
  <c r="I7" i="699"/>
  <c r="H7" i="699"/>
  <c r="A8" i="699"/>
  <c r="D7" i="699"/>
  <c r="C7" i="699"/>
  <c r="AG20" i="365" l="1"/>
  <c r="AH20" i="365"/>
  <c r="AI20" i="365"/>
  <c r="Y20" i="365"/>
  <c r="Z20" i="365"/>
  <c r="AA20" i="365"/>
  <c r="Y13" i="721"/>
  <c r="X13" i="721"/>
  <c r="C40" i="732"/>
  <c r="A41" i="732"/>
  <c r="B40" i="732"/>
  <c r="E40" i="732"/>
  <c r="D40" i="732"/>
  <c r="E41" i="731"/>
  <c r="D41" i="731"/>
  <c r="C41" i="731"/>
  <c r="B41" i="731"/>
  <c r="A42" i="731"/>
  <c r="O20" i="714"/>
  <c r="T20" i="714"/>
  <c r="A20" i="714"/>
  <c r="L21" i="714"/>
  <c r="Q21" i="714"/>
  <c r="AF21" i="365"/>
  <c r="X21" i="365"/>
  <c r="H4" i="704"/>
  <c r="H13" i="704"/>
  <c r="H6" i="704"/>
  <c r="H5" i="704"/>
  <c r="H7" i="704"/>
  <c r="H8" i="704"/>
  <c r="H9" i="704"/>
  <c r="H10" i="704"/>
  <c r="H11" i="704"/>
  <c r="H12" i="704"/>
  <c r="C8" i="699"/>
  <c r="A9" i="699"/>
  <c r="D8" i="699"/>
  <c r="F9" i="699"/>
  <c r="I8" i="699"/>
  <c r="H8" i="699"/>
  <c r="AG21" i="365" l="1"/>
  <c r="AH21" i="365"/>
  <c r="AI21" i="365"/>
  <c r="Z21" i="365"/>
  <c r="AA21" i="365"/>
  <c r="Y21" i="365"/>
  <c r="D42" i="731"/>
  <c r="C42" i="731"/>
  <c r="A43" i="731"/>
  <c r="B42" i="731"/>
  <c r="E42" i="731"/>
  <c r="A42" i="732"/>
  <c r="B41" i="732"/>
  <c r="E41" i="732"/>
  <c r="D41" i="732"/>
  <c r="C41" i="732"/>
  <c r="O21" i="714"/>
  <c r="O23" i="714" s="1"/>
  <c r="T21" i="714"/>
  <c r="A21" i="714"/>
  <c r="Q22" i="714"/>
  <c r="AF22" i="365"/>
  <c r="X22" i="365"/>
  <c r="L10" i="704"/>
  <c r="J10" i="704"/>
  <c r="J5" i="704"/>
  <c r="L5" i="704"/>
  <c r="J9" i="704"/>
  <c r="L9" i="704"/>
  <c r="L6" i="704"/>
  <c r="J6" i="704"/>
  <c r="M6" i="704" s="1"/>
  <c r="J12" i="704"/>
  <c r="L12" i="704"/>
  <c r="J8" i="704"/>
  <c r="L8" i="704"/>
  <c r="J13" i="704"/>
  <c r="L13" i="704"/>
  <c r="L11" i="704"/>
  <c r="J11" i="704"/>
  <c r="M11" i="704" s="1"/>
  <c r="L7" i="704"/>
  <c r="J7" i="704"/>
  <c r="J4" i="704"/>
  <c r="L4" i="704"/>
  <c r="F10" i="699"/>
  <c r="I9" i="699"/>
  <c r="H9" i="699"/>
  <c r="A10" i="699"/>
  <c r="D9" i="699"/>
  <c r="C9" i="699"/>
  <c r="Y17" i="721"/>
  <c r="X15" i="721"/>
  <c r="Y18" i="721"/>
  <c r="X17" i="721"/>
  <c r="Y15" i="721"/>
  <c r="AA22" i="365" l="1"/>
  <c r="Y22" i="365"/>
  <c r="Z22" i="365"/>
  <c r="AH22" i="365"/>
  <c r="AI22" i="365"/>
  <c r="AG22" i="365"/>
  <c r="X18" i="721"/>
  <c r="C43" i="731"/>
  <c r="A44" i="731"/>
  <c r="B43" i="731"/>
  <c r="E43" i="731"/>
  <c r="D43" i="731"/>
  <c r="E42" i="732"/>
  <c r="D42" i="732"/>
  <c r="C42" i="732"/>
  <c r="A43" i="732"/>
  <c r="B42" i="732"/>
  <c r="T22" i="714"/>
  <c r="Q23" i="714"/>
  <c r="M13" i="704"/>
  <c r="M12" i="704"/>
  <c r="M9" i="704"/>
  <c r="A22" i="714"/>
  <c r="AF23" i="365"/>
  <c r="X23" i="365"/>
  <c r="M4" i="704"/>
  <c r="M8" i="704"/>
  <c r="M5" i="704"/>
  <c r="M7" i="704"/>
  <c r="M10" i="704"/>
  <c r="C10" i="699"/>
  <c r="A11" i="699"/>
  <c r="D10" i="699"/>
  <c r="F11" i="699"/>
  <c r="I10" i="699"/>
  <c r="H10" i="699"/>
  <c r="AI23" i="365" l="1"/>
  <c r="AG23" i="365"/>
  <c r="AH23" i="365"/>
  <c r="Y23" i="365"/>
  <c r="Z23" i="365"/>
  <c r="AA23" i="365"/>
  <c r="A45" i="731"/>
  <c r="B44" i="731"/>
  <c r="E44" i="731"/>
  <c r="D44" i="731"/>
  <c r="C44" i="731"/>
  <c r="D43" i="732"/>
  <c r="C43" i="732"/>
  <c r="A44" i="732"/>
  <c r="B43" i="732"/>
  <c r="E43" i="732"/>
  <c r="T23" i="714"/>
  <c r="A23" i="714"/>
  <c r="Q24" i="714"/>
  <c r="M14" i="704"/>
  <c r="AF24" i="365"/>
  <c r="X24" i="365"/>
  <c r="F12" i="699"/>
  <c r="I11" i="699"/>
  <c r="H11" i="699"/>
  <c r="A12" i="699"/>
  <c r="D11" i="699"/>
  <c r="C11" i="699"/>
  <c r="Y24" i="365" l="1"/>
  <c r="Z24" i="365"/>
  <c r="AA24" i="365"/>
  <c r="AG24" i="365"/>
  <c r="AH24" i="365"/>
  <c r="AI24" i="365"/>
  <c r="C44" i="732"/>
  <c r="A45" i="732"/>
  <c r="B44" i="732"/>
  <c r="E44" i="732"/>
  <c r="D44" i="732"/>
  <c r="E45" i="731"/>
  <c r="D45" i="731"/>
  <c r="C45" i="731"/>
  <c r="A46" i="731"/>
  <c r="B45" i="731"/>
  <c r="T24" i="714"/>
  <c r="Q25" i="714"/>
  <c r="A24" i="714"/>
  <c r="AF25" i="365"/>
  <c r="X25" i="365"/>
  <c r="C12" i="699"/>
  <c r="A13" i="699"/>
  <c r="D12" i="699"/>
  <c r="F13" i="699"/>
  <c r="I12" i="699"/>
  <c r="H12" i="699"/>
  <c r="AG25" i="365" l="1"/>
  <c r="AH25" i="365"/>
  <c r="AI25" i="365"/>
  <c r="Z25" i="365"/>
  <c r="AA25" i="365"/>
  <c r="Y25" i="365"/>
  <c r="A46" i="732"/>
  <c r="B45" i="732"/>
  <c r="E45" i="732"/>
  <c r="D45" i="732"/>
  <c r="C45" i="732"/>
  <c r="D46" i="731"/>
  <c r="C46" i="731"/>
  <c r="B46" i="731"/>
  <c r="E46" i="731"/>
  <c r="T25" i="714"/>
  <c r="A25" i="714"/>
  <c r="Q26" i="714"/>
  <c r="AF26" i="365"/>
  <c r="X26" i="365"/>
  <c r="F14" i="699"/>
  <c r="I13" i="699"/>
  <c r="H13" i="699"/>
  <c r="A14" i="699"/>
  <c r="D13" i="699"/>
  <c r="C13" i="699"/>
  <c r="AA26" i="365" l="1"/>
  <c r="Y26" i="365"/>
  <c r="Z26" i="365"/>
  <c r="AH26" i="365"/>
  <c r="AI26" i="365"/>
  <c r="AG26" i="365"/>
  <c r="E46" i="732"/>
  <c r="D46" i="732"/>
  <c r="C46" i="732"/>
  <c r="B46" i="732"/>
  <c r="T26" i="714"/>
  <c r="Q27" i="714"/>
  <c r="A26" i="714"/>
  <c r="AF27" i="365"/>
  <c r="X27" i="365"/>
  <c r="C14" i="699"/>
  <c r="D14" i="699"/>
  <c r="I14" i="699"/>
  <c r="H14" i="699"/>
  <c r="Y27" i="365" l="1"/>
  <c r="Z27" i="365"/>
  <c r="AA27" i="365"/>
  <c r="AI27" i="365"/>
  <c r="AG27" i="365"/>
  <c r="AH27" i="365"/>
  <c r="T27" i="714"/>
  <c r="A27" i="714"/>
  <c r="Q28" i="714"/>
  <c r="AF28" i="365"/>
  <c r="X28" i="365"/>
  <c r="Y28" i="365" l="1"/>
  <c r="Z28" i="365"/>
  <c r="AA28" i="365"/>
  <c r="AG28" i="365"/>
  <c r="AH28" i="365"/>
  <c r="AI28" i="365"/>
  <c r="T28" i="714"/>
  <c r="Q29" i="714"/>
  <c r="A28" i="714"/>
  <c r="AF29" i="365"/>
  <c r="X29" i="365"/>
  <c r="Z29" i="365" l="1"/>
  <c r="AA29" i="365"/>
  <c r="Y29" i="365"/>
  <c r="AG29" i="365"/>
  <c r="AH29" i="365"/>
  <c r="AI29" i="365"/>
  <c r="T29" i="714"/>
  <c r="A29" i="714"/>
  <c r="Q30" i="714"/>
  <c r="AF30" i="365"/>
  <c r="X30" i="365"/>
  <c r="AA30" i="365" l="1"/>
  <c r="Y30" i="365"/>
  <c r="Z30" i="365"/>
  <c r="AH30" i="365"/>
  <c r="AI30" i="365"/>
  <c r="AG30" i="365"/>
  <c r="T30" i="714"/>
  <c r="Q31" i="714"/>
  <c r="A30" i="714"/>
  <c r="AF31" i="365"/>
  <c r="X31" i="365"/>
  <c r="Y31" i="365" l="1"/>
  <c r="Z31" i="365"/>
  <c r="AA31" i="365"/>
  <c r="AI31" i="365"/>
  <c r="AG31" i="365"/>
  <c r="AH31" i="365"/>
  <c r="T31" i="714"/>
  <c r="A31" i="714"/>
  <c r="Q32" i="714"/>
  <c r="AF32" i="365"/>
  <c r="X32" i="365"/>
  <c r="AG32" i="365" l="1"/>
  <c r="AH32" i="365"/>
  <c r="AI32" i="365"/>
  <c r="Y32" i="365"/>
  <c r="Z32" i="365"/>
  <c r="AA32" i="365"/>
  <c r="T32" i="714"/>
  <c r="A32" i="714"/>
  <c r="Q33" i="714"/>
  <c r="AF33" i="365"/>
  <c r="X33" i="365"/>
  <c r="B4" i="684"/>
  <c r="Z33" i="365" l="1"/>
  <c r="AA33" i="365"/>
  <c r="Y33" i="365"/>
  <c r="AG33" i="365"/>
  <c r="AH33" i="365"/>
  <c r="AI33" i="365"/>
  <c r="T33" i="714"/>
  <c r="Q34" i="714"/>
  <c r="A33" i="714"/>
  <c r="AF34" i="365"/>
  <c r="X34" i="365"/>
  <c r="I5" i="695"/>
  <c r="I6" i="695" s="1"/>
  <c r="I7" i="695" s="1"/>
  <c r="I8" i="695" s="1"/>
  <c r="I9" i="695" s="1"/>
  <c r="I10" i="695" s="1"/>
  <c r="I11" i="695" s="1"/>
  <c r="I12" i="695" s="1"/>
  <c r="I13" i="695" s="1"/>
  <c r="I14" i="695" s="1"/>
  <c r="I15" i="695" s="1"/>
  <c r="I16" i="695" s="1"/>
  <c r="I17" i="695" s="1"/>
  <c r="I18" i="695" s="1"/>
  <c r="I19" i="695" s="1"/>
  <c r="I20" i="695" s="1"/>
  <c r="I21" i="695" s="1"/>
  <c r="I22" i="695" s="1"/>
  <c r="I23" i="695" s="1"/>
  <c r="A5" i="695"/>
  <c r="A6" i="695" s="1"/>
  <c r="A7" i="695" s="1"/>
  <c r="A8" i="695" s="1"/>
  <c r="A9" i="695" s="1"/>
  <c r="A10" i="695" s="1"/>
  <c r="A11" i="695" s="1"/>
  <c r="A12" i="695" s="1"/>
  <c r="A13" i="695" s="1"/>
  <c r="A14" i="695" s="1"/>
  <c r="A15" i="695" s="1"/>
  <c r="A16" i="695" s="1"/>
  <c r="A17" i="695" s="1"/>
  <c r="A18" i="695" s="1"/>
  <c r="A19" i="695" s="1"/>
  <c r="A20" i="695" s="1"/>
  <c r="A21" i="695" s="1"/>
  <c r="A22" i="695" s="1"/>
  <c r="A23" i="695" s="1"/>
  <c r="O17" i="693"/>
  <c r="O16" i="693"/>
  <c r="L18" i="693"/>
  <c r="M18" i="693"/>
  <c r="N18" i="693"/>
  <c r="K18" i="693"/>
  <c r="E17" i="693"/>
  <c r="E18" i="693"/>
  <c r="E16" i="693"/>
  <c r="D19" i="693"/>
  <c r="C19" i="693"/>
  <c r="B19" i="693"/>
  <c r="M7" i="693"/>
  <c r="L7" i="693"/>
  <c r="H9" i="693"/>
  <c r="G9" i="693"/>
  <c r="I7" i="693"/>
  <c r="I8" i="693"/>
  <c r="I6" i="693"/>
  <c r="F6" i="693"/>
  <c r="F7" i="693"/>
  <c r="F8" i="693"/>
  <c r="G5" i="693"/>
  <c r="H5" i="693"/>
  <c r="F5" i="693"/>
  <c r="C7" i="693"/>
  <c r="B7" i="693"/>
  <c r="D5" i="693"/>
  <c r="D6" i="693"/>
  <c r="D4" i="693"/>
  <c r="AA34" i="365" l="1"/>
  <c r="Y34" i="365"/>
  <c r="Z34" i="365"/>
  <c r="AH34" i="365"/>
  <c r="AI34" i="365"/>
  <c r="AG34" i="365"/>
  <c r="T34" i="714"/>
  <c r="A34" i="714"/>
  <c r="Q35" i="714"/>
  <c r="AF35" i="365"/>
  <c r="X35" i="365"/>
  <c r="N7" i="693"/>
  <c r="N12" i="693" s="1"/>
  <c r="O18" i="693"/>
  <c r="I9" i="693"/>
  <c r="K7" i="693" s="1"/>
  <c r="E19" i="693"/>
  <c r="D7" i="693"/>
  <c r="B5" i="684"/>
  <c r="Y35" i="365" l="1"/>
  <c r="Z35" i="365"/>
  <c r="AA35" i="365"/>
  <c r="AI35" i="365"/>
  <c r="AG35" i="365"/>
  <c r="AH35" i="365"/>
  <c r="T35" i="714"/>
  <c r="Q36" i="714"/>
  <c r="A35" i="714"/>
  <c r="AF36" i="365"/>
  <c r="X36" i="365"/>
  <c r="N11" i="693"/>
  <c r="G6" i="693" a="1"/>
  <c r="G6" i="693" s="1"/>
  <c r="AD4" i="692"/>
  <c r="AD8" i="692" s="1"/>
  <c r="AD7" i="692"/>
  <c r="Y7" i="692"/>
  <c r="Y4" i="692"/>
  <c r="Y8" i="692" s="1"/>
  <c r="AG36" i="365" l="1"/>
  <c r="AH36" i="365"/>
  <c r="AI36" i="365"/>
  <c r="Y36" i="365"/>
  <c r="Z36" i="365"/>
  <c r="AA36" i="365"/>
  <c r="Y9" i="692"/>
  <c r="Y10" i="692" s="1"/>
  <c r="T36" i="714"/>
  <c r="A36" i="714"/>
  <c r="Q37" i="714"/>
  <c r="AF37" i="365"/>
  <c r="X37" i="365"/>
  <c r="Y12" i="692"/>
  <c r="Y11" i="692"/>
  <c r="H6" i="693"/>
  <c r="G8" i="693"/>
  <c r="H8" i="693"/>
  <c r="H7" i="693"/>
  <c r="G7" i="693"/>
  <c r="AD11" i="692"/>
  <c r="AD12" i="692"/>
  <c r="AD9" i="692"/>
  <c r="AD10" i="692" s="1"/>
  <c r="E41" i="692"/>
  <c r="G41" i="692" s="1"/>
  <c r="R30" i="692"/>
  <c r="R29" i="692"/>
  <c r="J21" i="692"/>
  <c r="J20" i="692"/>
  <c r="E15" i="692"/>
  <c r="G15" i="692" s="1"/>
  <c r="Z37" i="365" l="1"/>
  <c r="AA37" i="365"/>
  <c r="Y37" i="365"/>
  <c r="AG37" i="365"/>
  <c r="AH37" i="365"/>
  <c r="AI37" i="365"/>
  <c r="T37" i="714"/>
  <c r="Q38" i="714"/>
  <c r="A37" i="714"/>
  <c r="AF38" i="365"/>
  <c r="X38" i="365"/>
  <c r="Y16" i="692"/>
  <c r="Y17" i="692" s="1"/>
  <c r="E40" i="692"/>
  <c r="G40" i="692" s="1"/>
  <c r="F41" i="692" s="1"/>
  <c r="E14" i="692"/>
  <c r="AA38" i="365" l="1"/>
  <c r="Y38" i="365"/>
  <c r="Z38" i="365"/>
  <c r="AH38" i="365"/>
  <c r="AI38" i="365"/>
  <c r="AG38" i="365"/>
  <c r="T38" i="714"/>
  <c r="A38" i="714"/>
  <c r="Q39" i="714"/>
  <c r="AF39" i="365"/>
  <c r="X39" i="365"/>
  <c r="E39" i="692"/>
  <c r="E38" i="692" s="1"/>
  <c r="E13" i="692"/>
  <c r="G14" i="692"/>
  <c r="B7" i="689"/>
  <c r="B8" i="689" s="1"/>
  <c r="K18" i="689"/>
  <c r="K17" i="689"/>
  <c r="J6" i="689" s="1"/>
  <c r="K16" i="689"/>
  <c r="K15" i="689"/>
  <c r="G18" i="689"/>
  <c r="G17" i="689"/>
  <c r="G16" i="689"/>
  <c r="G15" i="689"/>
  <c r="C16" i="689"/>
  <c r="C17" i="689"/>
  <c r="C18" i="689"/>
  <c r="C15" i="689"/>
  <c r="F6" i="689" s="1"/>
  <c r="B11" i="689"/>
  <c r="B12" i="689"/>
  <c r="Y39" i="365" l="1"/>
  <c r="Z39" i="365"/>
  <c r="AA39" i="365"/>
  <c r="AI39" i="365"/>
  <c r="AG39" i="365"/>
  <c r="AH39" i="365"/>
  <c r="T39" i="714"/>
  <c r="Q40" i="714"/>
  <c r="A39" i="714"/>
  <c r="AF40" i="365"/>
  <c r="X40" i="365"/>
  <c r="J12" i="689"/>
  <c r="F11" i="689"/>
  <c r="G39" i="692"/>
  <c r="F40" i="692" s="1"/>
  <c r="E37" i="692"/>
  <c r="G38" i="692"/>
  <c r="F15" i="692"/>
  <c r="E12" i="692"/>
  <c r="G13" i="692"/>
  <c r="J7" i="689"/>
  <c r="J8" i="689" s="1"/>
  <c r="F7" i="689"/>
  <c r="F8" i="689" s="1"/>
  <c r="J11" i="689"/>
  <c r="F12" i="689"/>
  <c r="AG40" i="365" l="1"/>
  <c r="AH40" i="365"/>
  <c r="AI40" i="365"/>
  <c r="Y40" i="365"/>
  <c r="Z40" i="365"/>
  <c r="AA40" i="365"/>
  <c r="T40" i="714"/>
  <c r="A40" i="714"/>
  <c r="Q41" i="714"/>
  <c r="AF41" i="365"/>
  <c r="X41" i="365"/>
  <c r="F39" i="692"/>
  <c r="E36" i="692"/>
  <c r="G37" i="692"/>
  <c r="F38" i="692" s="1"/>
  <c r="E11" i="692"/>
  <c r="G12" i="692"/>
  <c r="F14" i="692"/>
  <c r="Z41" i="365" l="1"/>
  <c r="AA41" i="365"/>
  <c r="Y41" i="365"/>
  <c r="AG41" i="365"/>
  <c r="AH41" i="365"/>
  <c r="AI41" i="365"/>
  <c r="T41" i="714"/>
  <c r="A41" i="714"/>
  <c r="Q42" i="714"/>
  <c r="AF42" i="365"/>
  <c r="X42" i="365"/>
  <c r="E35" i="692"/>
  <c r="G36" i="692"/>
  <c r="F37" i="692" s="1"/>
  <c r="E10" i="692"/>
  <c r="G11" i="692"/>
  <c r="F13" i="692"/>
  <c r="D12" i="686"/>
  <c r="D13" i="686"/>
  <c r="D14" i="686"/>
  <c r="D11" i="686"/>
  <c r="D10" i="686"/>
  <c r="D5" i="686"/>
  <c r="D6" i="686"/>
  <c r="D7" i="686"/>
  <c r="D8" i="686"/>
  <c r="D9" i="686"/>
  <c r="D4" i="686"/>
  <c r="AH42" i="365" l="1"/>
  <c r="AI42" i="365"/>
  <c r="AG42" i="365"/>
  <c r="AA42" i="365"/>
  <c r="Y42" i="365"/>
  <c r="Z42" i="365"/>
  <c r="T42" i="714"/>
  <c r="Q43" i="714"/>
  <c r="A42" i="714"/>
  <c r="AF43" i="365"/>
  <c r="X43" i="365"/>
  <c r="E34" i="692"/>
  <c r="G35" i="692"/>
  <c r="F35" i="692" s="1"/>
  <c r="E9" i="692"/>
  <c r="G10" i="692"/>
  <c r="F12" i="692"/>
  <c r="Y43" i="365" l="1"/>
  <c r="Z43" i="365"/>
  <c r="AA43" i="365"/>
  <c r="AI43" i="365"/>
  <c r="AG43" i="365"/>
  <c r="AH43" i="365"/>
  <c r="T43" i="714"/>
  <c r="A43" i="714"/>
  <c r="Q44" i="714"/>
  <c r="AF44" i="365"/>
  <c r="X44" i="365"/>
  <c r="F36" i="692"/>
  <c r="E8" i="692"/>
  <c r="G9" i="692"/>
  <c r="F9" i="692" s="1"/>
  <c r="F11" i="692"/>
  <c r="AG44" i="365" l="1"/>
  <c r="AH44" i="365"/>
  <c r="AI44" i="365"/>
  <c r="Y44" i="365"/>
  <c r="Z44" i="365"/>
  <c r="AA44" i="365"/>
  <c r="T44" i="714"/>
  <c r="A44" i="714"/>
  <c r="Q45" i="714"/>
  <c r="AF45" i="365"/>
  <c r="X45" i="365"/>
  <c r="F10" i="692"/>
  <c r="Z45" i="365" l="1"/>
  <c r="AA45" i="365"/>
  <c r="Y45" i="365"/>
  <c r="AG45" i="365"/>
  <c r="AH45" i="365"/>
  <c r="AI45" i="365"/>
  <c r="T45" i="714"/>
  <c r="Q46" i="714"/>
  <c r="A45" i="714"/>
  <c r="AF46" i="365"/>
  <c r="X46" i="365"/>
  <c r="AA46" i="365" l="1"/>
  <c r="Y46" i="365"/>
  <c r="Z46" i="365"/>
  <c r="AH46" i="365"/>
  <c r="AI46" i="365"/>
  <c r="AG46" i="365"/>
  <c r="T46" i="714"/>
  <c r="A46" i="714"/>
  <c r="Q47" i="714"/>
  <c r="AF47" i="365"/>
  <c r="X47" i="365"/>
  <c r="Y47" i="365" l="1"/>
  <c r="Z47" i="365"/>
  <c r="AA47" i="365"/>
  <c r="AI47" i="365"/>
  <c r="AG47" i="365"/>
  <c r="AH47" i="365"/>
  <c r="T47" i="714"/>
  <c r="Q48" i="714"/>
  <c r="A47" i="714"/>
  <c r="AF48" i="365"/>
  <c r="X48" i="365"/>
  <c r="Y48" i="365" l="1"/>
  <c r="Z48" i="365"/>
  <c r="AA48" i="365"/>
  <c r="AG48" i="365"/>
  <c r="AH48" i="365"/>
  <c r="AI48" i="365"/>
  <c r="T48" i="714"/>
  <c r="A48" i="714"/>
  <c r="Q49" i="714"/>
  <c r="AF49" i="365"/>
  <c r="X49" i="365"/>
  <c r="Z49" i="365" l="1"/>
  <c r="AA49" i="365"/>
  <c r="Y49" i="365"/>
  <c r="AG49" i="365"/>
  <c r="AH49" i="365"/>
  <c r="AI49" i="365"/>
  <c r="T49" i="714"/>
  <c r="Q50" i="714"/>
  <c r="A49" i="714"/>
  <c r="AF50" i="365"/>
  <c r="X50" i="365"/>
  <c r="AA50" i="365" l="1"/>
  <c r="Y50" i="365"/>
  <c r="Z50" i="365"/>
  <c r="AH50" i="365"/>
  <c r="AI50" i="365"/>
  <c r="AG50" i="365"/>
  <c r="T50" i="714"/>
  <c r="A50" i="714"/>
  <c r="Q51" i="714"/>
  <c r="AF51" i="365"/>
  <c r="X51" i="365"/>
  <c r="Y51" i="365" l="1"/>
  <c r="Z51" i="365"/>
  <c r="AA51" i="365"/>
  <c r="AI51" i="365"/>
  <c r="AG51" i="365"/>
  <c r="AH51" i="365"/>
  <c r="T51" i="714"/>
  <c r="Q52" i="714"/>
  <c r="A51" i="714"/>
  <c r="AF52" i="365"/>
  <c r="X52" i="365"/>
  <c r="B6" i="684"/>
  <c r="Y52" i="365" l="1"/>
  <c r="Z52" i="365"/>
  <c r="AA52" i="365"/>
  <c r="AG52" i="365"/>
  <c r="AH52" i="365"/>
  <c r="AI52" i="365"/>
  <c r="T52" i="714"/>
  <c r="A52" i="714"/>
  <c r="Q53" i="714"/>
  <c r="AF53" i="365"/>
  <c r="X53" i="365"/>
  <c r="Z53" i="365" l="1"/>
  <c r="AA53" i="365"/>
  <c r="Y53" i="365"/>
  <c r="AG53" i="365"/>
  <c r="AH53" i="365"/>
  <c r="AI53" i="365"/>
  <c r="T53" i="714"/>
  <c r="Q54" i="714"/>
  <c r="K12" i="682"/>
  <c r="K11" i="682"/>
  <c r="G11" i="682"/>
  <c r="K10" i="682"/>
  <c r="G10" i="682"/>
  <c r="T54" i="714" l="1"/>
  <c r="Q55" i="714"/>
  <c r="E3" i="681"/>
  <c r="E2" i="681"/>
  <c r="E5" i="681"/>
  <c r="T55" i="714" l="1"/>
  <c r="Q56" i="714"/>
  <c r="E4" i="681"/>
  <c r="E6" i="681" s="1"/>
  <c r="E8" i="681" s="1"/>
  <c r="T56" i="714" l="1"/>
  <c r="Q57" i="714"/>
  <c r="C6" i="674"/>
  <c r="B6" i="674"/>
  <c r="T57" i="714" l="1"/>
  <c r="Q58" i="714"/>
  <c r="G27" i="666"/>
  <c r="H27" i="666" s="1"/>
  <c r="F28" i="666"/>
  <c r="F27" i="666"/>
  <c r="C42" i="666"/>
  <c r="B42" i="666"/>
  <c r="C41" i="666"/>
  <c r="B41" i="666"/>
  <c r="D39" i="666"/>
  <c r="D38" i="666"/>
  <c r="D37" i="666"/>
  <c r="D36" i="666"/>
  <c r="D35" i="666"/>
  <c r="D34" i="666"/>
  <c r="D33" i="666"/>
  <c r="D32" i="666"/>
  <c r="D31" i="666"/>
  <c r="D30" i="666"/>
  <c r="D29" i="666"/>
  <c r="D28" i="666"/>
  <c r="D27" i="666"/>
  <c r="D26" i="666"/>
  <c r="A26" i="666"/>
  <c r="A27" i="666" s="1"/>
  <c r="A28" i="666" s="1"/>
  <c r="A29" i="666" s="1"/>
  <c r="A30" i="666" s="1"/>
  <c r="A31" i="666" s="1"/>
  <c r="A32" i="666" s="1"/>
  <c r="A33" i="666" s="1"/>
  <c r="A34" i="666" s="1"/>
  <c r="A35" i="666" s="1"/>
  <c r="A36" i="666" s="1"/>
  <c r="A37" i="666" s="1"/>
  <c r="A38" i="666" s="1"/>
  <c r="A39" i="666" s="1"/>
  <c r="D25" i="666"/>
  <c r="C21" i="666"/>
  <c r="C20" i="666"/>
  <c r="B21" i="666"/>
  <c r="B20" i="666"/>
  <c r="D5" i="666"/>
  <c r="D4" i="666"/>
  <c r="D7" i="666"/>
  <c r="D8" i="666"/>
  <c r="D9" i="666"/>
  <c r="D10" i="666"/>
  <c r="D11" i="666"/>
  <c r="D12" i="666"/>
  <c r="D13" i="666"/>
  <c r="D14" i="666"/>
  <c r="D15" i="666"/>
  <c r="D16" i="666"/>
  <c r="D17" i="666"/>
  <c r="D18" i="666"/>
  <c r="D6" i="666"/>
  <c r="I8" i="666" a="1"/>
  <c r="I8" i="666" s="1"/>
  <c r="I7" i="666"/>
  <c r="H7" i="666"/>
  <c r="G7" i="666"/>
  <c r="G8" i="666" s="1"/>
  <c r="L8" i="666" s="1"/>
  <c r="H13" i="666" s="1"/>
  <c r="F7" i="666"/>
  <c r="I6" i="666"/>
  <c r="H6" i="666"/>
  <c r="G6" i="666"/>
  <c r="F6" i="666"/>
  <c r="A5" i="666"/>
  <c r="A6" i="666" s="1"/>
  <c r="A7" i="666" s="1"/>
  <c r="A8" i="666" s="1"/>
  <c r="A9" i="666" s="1"/>
  <c r="A10" i="666" s="1"/>
  <c r="A11" i="666" s="1"/>
  <c r="A12" i="666" s="1"/>
  <c r="A13" i="666" s="1"/>
  <c r="A14" i="666" s="1"/>
  <c r="A15" i="666" s="1"/>
  <c r="A16" i="666" s="1"/>
  <c r="A17" i="666" s="1"/>
  <c r="A18" i="666" s="1"/>
  <c r="T58" i="714" l="1"/>
  <c r="Q59" i="714"/>
  <c r="I27" i="666"/>
  <c r="G28" i="666"/>
  <c r="D41" i="666"/>
  <c r="D42" i="666"/>
  <c r="D20" i="666"/>
  <c r="D21" i="666"/>
  <c r="H12" i="666"/>
  <c r="J8" i="666"/>
  <c r="J13" i="666" s="1"/>
  <c r="H8" i="666"/>
  <c r="M8" i="666"/>
  <c r="T59" i="714" l="1"/>
  <c r="Q60" i="714"/>
  <c r="H28" i="666"/>
  <c r="G29" i="666"/>
  <c r="L29" i="666" s="1"/>
  <c r="I13" i="666"/>
  <c r="K8" i="666"/>
  <c r="G13" i="666" s="1"/>
  <c r="K13" i="666" s="1"/>
  <c r="T60" i="714" l="1"/>
  <c r="Q61" i="714"/>
  <c r="G12" i="666"/>
  <c r="K12" i="666" s="1"/>
  <c r="H33" i="666"/>
  <c r="H34" i="666"/>
  <c r="I28" i="666"/>
  <c r="H29" i="666"/>
  <c r="I29" i="666" s="1"/>
  <c r="J29" i="666" s="1"/>
  <c r="N8" i="666"/>
  <c r="T61" i="714" l="1"/>
  <c r="Q62" i="714"/>
  <c r="O12" i="693"/>
  <c r="P12" i="693"/>
  <c r="M12" i="693"/>
  <c r="K8" i="686"/>
  <c r="K9" i="686" s="1"/>
  <c r="J10" i="686"/>
  <c r="J9" i="686"/>
  <c r="J14" i="686"/>
  <c r="J12" i="686"/>
  <c r="J5" i="686"/>
  <c r="K12" i="686"/>
  <c r="K13" i="686" s="1"/>
  <c r="J11" i="686"/>
  <c r="K10" i="686"/>
  <c r="K11" i="686" s="1"/>
  <c r="K6" i="686"/>
  <c r="K7" i="686" s="1"/>
  <c r="K4" i="686"/>
  <c r="K5" i="686" s="1"/>
  <c r="J7" i="686"/>
  <c r="J6" i="686"/>
  <c r="J4" i="686"/>
  <c r="J13" i="686"/>
  <c r="J8" i="686"/>
  <c r="D4" i="695"/>
  <c r="E4" i="695" s="1"/>
  <c r="D5" i="695"/>
  <c r="E5" i="695" s="1"/>
  <c r="D7" i="695"/>
  <c r="E7" i="695" s="1"/>
  <c r="D6" i="695"/>
  <c r="E6" i="695" s="1"/>
  <c r="L6" i="695"/>
  <c r="M6" i="695" s="1"/>
  <c r="L5" i="695"/>
  <c r="M5" i="695" s="1"/>
  <c r="L7" i="695"/>
  <c r="M7" i="695" s="1"/>
  <c r="L4" i="695"/>
  <c r="M4" i="695" s="1"/>
  <c r="O11" i="693"/>
  <c r="P11" i="693"/>
  <c r="M11" i="693"/>
  <c r="I34" i="666"/>
  <c r="M29" i="666"/>
  <c r="J34" i="666"/>
  <c r="K29" i="666"/>
  <c r="T62" i="714" l="1"/>
  <c r="Q63" i="714"/>
  <c r="T44" i="692"/>
  <c r="T45" i="692" s="1"/>
  <c r="G34" i="666"/>
  <c r="K34" i="666" s="1"/>
  <c r="N29" i="666"/>
  <c r="G33" i="666"/>
  <c r="K33" i="666" s="1"/>
  <c r="T63" i="714" l="1"/>
  <c r="Q64" i="714"/>
  <c r="U21" i="44"/>
  <c r="U20" i="44"/>
  <c r="S21" i="44"/>
  <c r="Q21" i="44"/>
  <c r="T64" i="714" l="1"/>
  <c r="Q65" i="714"/>
  <c r="R18" i="44"/>
  <c r="Q20" i="44"/>
  <c r="T65" i="714" l="1"/>
  <c r="Q66" i="714"/>
  <c r="G11" i="645"/>
  <c r="B11" i="645"/>
  <c r="G10" i="645"/>
  <c r="B10" i="645"/>
  <c r="G7" i="645"/>
  <c r="B13" i="645" l="1"/>
  <c r="B14" i="645" s="1"/>
  <c r="T66" i="714"/>
  <c r="Q67" i="714"/>
  <c r="G13" i="645"/>
  <c r="G14" i="645"/>
  <c r="I7" i="644"/>
  <c r="J7" i="644"/>
  <c r="K7" i="644"/>
  <c r="I8" i="644"/>
  <c r="J8" i="644"/>
  <c r="K8" i="644"/>
  <c r="I9" i="644"/>
  <c r="B4" i="644" s="1"/>
  <c r="J9" i="644"/>
  <c r="K9" i="644"/>
  <c r="H9" i="644"/>
  <c r="H8" i="644"/>
  <c r="H7" i="644"/>
  <c r="T67" i="714" l="1"/>
  <c r="G15" i="645"/>
  <c r="G16" i="645" s="1"/>
  <c r="Q68" i="714"/>
  <c r="B15" i="645"/>
  <c r="B7" i="644"/>
  <c r="B10" i="644"/>
  <c r="D4" i="644"/>
  <c r="B9" i="644"/>
  <c r="B8" i="644"/>
  <c r="C4" i="644"/>
  <c r="T68" i="714" l="1"/>
  <c r="Q69" i="714"/>
  <c r="E4" i="644"/>
  <c r="D9" i="644"/>
  <c r="D8" i="644"/>
  <c r="D7" i="644"/>
  <c r="D10" i="644"/>
  <c r="C8" i="644"/>
  <c r="C7" i="644"/>
  <c r="C10" i="644"/>
  <c r="C9" i="644"/>
  <c r="G4" i="560"/>
  <c r="J4" i="560" s="1"/>
  <c r="I3" i="560"/>
  <c r="J3" i="560"/>
  <c r="H3" i="560"/>
  <c r="B5" i="560"/>
  <c r="T69" i="714" l="1"/>
  <c r="Q70" i="714"/>
  <c r="G5" i="560"/>
  <c r="G6" i="560" s="1"/>
  <c r="G7" i="560" s="1"/>
  <c r="G8" i="560" s="1"/>
  <c r="G9" i="560" s="1"/>
  <c r="G10" i="560" s="1"/>
  <c r="G11" i="560" s="1"/>
  <c r="G12" i="560" s="1"/>
  <c r="G13" i="560" s="1"/>
  <c r="G14" i="560" s="1"/>
  <c r="H14" i="560" s="1"/>
  <c r="H4" i="560"/>
  <c r="E10" i="644"/>
  <c r="E9" i="644"/>
  <c r="E8" i="644"/>
  <c r="E7" i="644"/>
  <c r="I4" i="560"/>
  <c r="T70" i="714" l="1"/>
  <c r="Q71" i="714"/>
  <c r="I9" i="560"/>
  <c r="I8" i="560"/>
  <c r="J13" i="560"/>
  <c r="J7" i="560"/>
  <c r="J10" i="560"/>
  <c r="H13" i="560"/>
  <c r="I6" i="560"/>
  <c r="H6" i="560"/>
  <c r="I5" i="560"/>
  <c r="J5" i="560"/>
  <c r="I7" i="560"/>
  <c r="G15" i="560"/>
  <c r="G16" i="560" s="1"/>
  <c r="G17" i="560" s="1"/>
  <c r="G18" i="560" s="1"/>
  <c r="G19" i="560" s="1"/>
  <c r="G20" i="560" s="1"/>
  <c r="G21" i="560" s="1"/>
  <c r="G22" i="560" s="1"/>
  <c r="J6" i="560"/>
  <c r="H12" i="560"/>
  <c r="J9" i="560"/>
  <c r="H9" i="560"/>
  <c r="J12" i="560"/>
  <c r="I11" i="560"/>
  <c r="J14" i="560"/>
  <c r="H8" i="560"/>
  <c r="H11" i="560"/>
  <c r="I14" i="560"/>
  <c r="H5" i="560"/>
  <c r="J8" i="560"/>
  <c r="I13" i="560"/>
  <c r="H7" i="560"/>
  <c r="I12" i="560"/>
  <c r="J11" i="560"/>
  <c r="H10" i="560"/>
  <c r="I10" i="560"/>
  <c r="B11" i="639"/>
  <c r="T71" i="714" l="1"/>
  <c r="Q72" i="714"/>
  <c r="J16" i="560"/>
  <c r="H15" i="560"/>
  <c r="J19" i="560"/>
  <c r="H19" i="560"/>
  <c r="I17" i="560"/>
  <c r="H16" i="560"/>
  <c r="J21" i="560"/>
  <c r="H17" i="560"/>
  <c r="J17" i="560"/>
  <c r="J15" i="560"/>
  <c r="I21" i="560"/>
  <c r="H18" i="560"/>
  <c r="I16" i="560"/>
  <c r="H21" i="560"/>
  <c r="I19" i="560"/>
  <c r="I18" i="560"/>
  <c r="I15" i="560"/>
  <c r="J18" i="560"/>
  <c r="H22" i="560"/>
  <c r="I22" i="560"/>
  <c r="J22" i="560"/>
  <c r="G23" i="560"/>
  <c r="H20" i="560"/>
  <c r="I20" i="560"/>
  <c r="J20" i="560"/>
  <c r="I13" i="325"/>
  <c r="I19" i="325"/>
  <c r="J19" i="325"/>
  <c r="I20" i="325"/>
  <c r="J20" i="325"/>
  <c r="T72" i="714" l="1"/>
  <c r="Q73" i="714"/>
  <c r="H23" i="560"/>
  <c r="I23" i="560"/>
  <c r="J23" i="560"/>
  <c r="I22" i="325"/>
  <c r="I24" i="325" s="1"/>
  <c r="I25" i="325" s="1"/>
  <c r="I26" i="325" s="1"/>
  <c r="I27" i="325" s="1"/>
  <c r="I29" i="325" s="1"/>
  <c r="I28" i="325"/>
  <c r="T73" i="714" l="1"/>
  <c r="Q74" i="714"/>
  <c r="I3" i="320"/>
  <c r="T74" i="714" l="1"/>
  <c r="Q75" i="714"/>
  <c r="G5" i="641"/>
  <c r="C5" i="641"/>
  <c r="D5" i="641"/>
  <c r="G4" i="641"/>
  <c r="C4" i="641"/>
  <c r="D4" i="641"/>
  <c r="R7" i="640"/>
  <c r="S7" i="640"/>
  <c r="Q7" i="640"/>
  <c r="P8" i="640"/>
  <c r="P9" i="640" s="1"/>
  <c r="P10" i="640" s="1"/>
  <c r="P11" i="640" s="1"/>
  <c r="P12" i="640" s="1"/>
  <c r="P13" i="640" s="1"/>
  <c r="P14" i="640" s="1"/>
  <c r="P15" i="640" s="1"/>
  <c r="P16" i="640" s="1"/>
  <c r="P17" i="640" s="1"/>
  <c r="P18" i="640" s="1"/>
  <c r="P19" i="640" s="1"/>
  <c r="P20" i="640" s="1"/>
  <c r="P21" i="640" s="1"/>
  <c r="P22" i="640" s="1"/>
  <c r="P23" i="640" s="1"/>
  <c r="P24" i="640" s="1"/>
  <c r="P25" i="640" s="1"/>
  <c r="P26" i="640" s="1"/>
  <c r="P27" i="640" s="1"/>
  <c r="P28" i="640" s="1"/>
  <c r="P29" i="640" s="1"/>
  <c r="P30" i="640" s="1"/>
  <c r="P31" i="640" s="1"/>
  <c r="P32" i="640" s="1"/>
  <c r="P33" i="640" s="1"/>
  <c r="P34" i="640" s="1"/>
  <c r="P35" i="640" s="1"/>
  <c r="P36" i="640" s="1"/>
  <c r="P37" i="640" s="1"/>
  <c r="P38" i="640" s="1"/>
  <c r="P39" i="640" s="1"/>
  <c r="P40" i="640" s="1"/>
  <c r="P41" i="640" s="1"/>
  <c r="P42" i="640" s="1"/>
  <c r="P43" i="640" s="1"/>
  <c r="P44" i="640" s="1"/>
  <c r="P45" i="640" s="1"/>
  <c r="P46" i="640" s="1"/>
  <c r="P47" i="640" s="1"/>
  <c r="P48" i="640" s="1"/>
  <c r="P49" i="640" s="1"/>
  <c r="P50" i="640" s="1"/>
  <c r="P51" i="640" s="1"/>
  <c r="P52" i="640" s="1"/>
  <c r="P53" i="640" s="1"/>
  <c r="P54" i="640" s="1"/>
  <c r="P55" i="640" s="1"/>
  <c r="P56" i="640" s="1"/>
  <c r="P57" i="640" s="1"/>
  <c r="P58" i="640" s="1"/>
  <c r="P59" i="640" s="1"/>
  <c r="P60" i="640" s="1"/>
  <c r="P61" i="640" s="1"/>
  <c r="P62" i="640" s="1"/>
  <c r="P63" i="640" s="1"/>
  <c r="P64" i="640" s="1"/>
  <c r="P65" i="640" s="1"/>
  <c r="P66" i="640" s="1"/>
  <c r="P67" i="640" s="1"/>
  <c r="P68" i="640" s="1"/>
  <c r="P69" i="640" s="1"/>
  <c r="P70" i="640" s="1"/>
  <c r="P71" i="640" s="1"/>
  <c r="P72" i="640" s="1"/>
  <c r="P73" i="640" s="1"/>
  <c r="P74" i="640" s="1"/>
  <c r="P75" i="640" s="1"/>
  <c r="P76" i="640" s="1"/>
  <c r="P77" i="640" s="1"/>
  <c r="P78" i="640" s="1"/>
  <c r="P79" i="640" s="1"/>
  <c r="P80" i="640" s="1"/>
  <c r="P81" i="640" s="1"/>
  <c r="P82" i="640" s="1"/>
  <c r="P83" i="640" s="1"/>
  <c r="P84" i="640" s="1"/>
  <c r="P85" i="640" s="1"/>
  <c r="P86" i="640" s="1"/>
  <c r="P87" i="640" s="1"/>
  <c r="P88" i="640" s="1"/>
  <c r="P89" i="640" s="1"/>
  <c r="P90" i="640" s="1"/>
  <c r="P91" i="640" s="1"/>
  <c r="P92" i="640" s="1"/>
  <c r="P93" i="640" s="1"/>
  <c r="P94" i="640" s="1"/>
  <c r="P95" i="640" s="1"/>
  <c r="P96" i="640" s="1"/>
  <c r="P97" i="640" s="1"/>
  <c r="P98" i="640" s="1"/>
  <c r="P99" i="640" s="1"/>
  <c r="P100" i="640" s="1"/>
  <c r="P101" i="640" s="1"/>
  <c r="P102" i="640" s="1"/>
  <c r="P103" i="640" s="1"/>
  <c r="P104" i="640" s="1"/>
  <c r="P105" i="640" s="1"/>
  <c r="P106" i="640" s="1"/>
  <c r="P107" i="640" s="1"/>
  <c r="P108" i="640" s="1"/>
  <c r="P109" i="640" s="1"/>
  <c r="P110" i="640" s="1"/>
  <c r="P111" i="640" s="1"/>
  <c r="P112" i="640" s="1"/>
  <c r="P113" i="640" s="1"/>
  <c r="P114" i="640" s="1"/>
  <c r="P115" i="640" s="1"/>
  <c r="P116" i="640" s="1"/>
  <c r="P117" i="640" s="1"/>
  <c r="P118" i="640" s="1"/>
  <c r="P119" i="640" s="1"/>
  <c r="P120" i="640" s="1"/>
  <c r="P121" i="640" s="1"/>
  <c r="P122" i="640" s="1"/>
  <c r="P123" i="640" s="1"/>
  <c r="P124" i="640" s="1"/>
  <c r="P125" i="640" s="1"/>
  <c r="P126" i="640" s="1"/>
  <c r="P127" i="640" s="1"/>
  <c r="P128" i="640" s="1"/>
  <c r="P129" i="640" s="1"/>
  <c r="P130" i="640" s="1"/>
  <c r="P131" i="640" s="1"/>
  <c r="P132" i="640" s="1"/>
  <c r="P133" i="640" s="1"/>
  <c r="P134" i="640" s="1"/>
  <c r="P135" i="640" s="1"/>
  <c r="P136" i="640" s="1"/>
  <c r="P137" i="640" s="1"/>
  <c r="P138" i="640" s="1"/>
  <c r="P139" i="640" s="1"/>
  <c r="P140" i="640" s="1"/>
  <c r="P141" i="640" s="1"/>
  <c r="P142" i="640" s="1"/>
  <c r="P143" i="640" s="1"/>
  <c r="P144" i="640" s="1"/>
  <c r="P145" i="640" s="1"/>
  <c r="P146" i="640" s="1"/>
  <c r="P147" i="640" s="1"/>
  <c r="P148" i="640" s="1"/>
  <c r="P149" i="640" s="1"/>
  <c r="P150" i="640" s="1"/>
  <c r="P151" i="640" s="1"/>
  <c r="P152" i="640" s="1"/>
  <c r="P153" i="640" s="1"/>
  <c r="P154" i="640" s="1"/>
  <c r="P155" i="640" s="1"/>
  <c r="P156" i="640" s="1"/>
  <c r="A8" i="640"/>
  <c r="A9" i="640" s="1"/>
  <c r="C7" i="640"/>
  <c r="D7" i="640"/>
  <c r="B7" i="640"/>
  <c r="T75" i="714" l="1"/>
  <c r="Q76" i="714"/>
  <c r="A10" i="640"/>
  <c r="Q9" i="640"/>
  <c r="R9" i="640"/>
  <c r="S9" i="640"/>
  <c r="B8" i="640"/>
  <c r="S8" i="640"/>
  <c r="Q8" i="640"/>
  <c r="R8" i="640"/>
  <c r="C8" i="640"/>
  <c r="D8" i="640"/>
  <c r="K11" i="13"/>
  <c r="K14" i="13" s="1"/>
  <c r="K18" i="484"/>
  <c r="K19" i="484"/>
  <c r="K17" i="484"/>
  <c r="J18" i="484"/>
  <c r="J19" i="484"/>
  <c r="J17" i="484"/>
  <c r="T76" i="714" l="1"/>
  <c r="Q77" i="714"/>
  <c r="A11" i="640"/>
  <c r="Q10" i="640"/>
  <c r="R10" i="640"/>
  <c r="S10" i="640"/>
  <c r="C9" i="640"/>
  <c r="D9" i="640"/>
  <c r="B9" i="640"/>
  <c r="E6" i="485"/>
  <c r="E13" i="485" s="1"/>
  <c r="E8" i="485"/>
  <c r="T77" i="714" l="1"/>
  <c r="Q78" i="714"/>
  <c r="A12" i="640"/>
  <c r="R11" i="640"/>
  <c r="S11" i="640"/>
  <c r="Q11" i="640"/>
  <c r="C10" i="640"/>
  <c r="B10" i="640"/>
  <c r="D10" i="640"/>
  <c r="J4" i="7"/>
  <c r="J8" i="7"/>
  <c r="J7" i="7"/>
  <c r="J6" i="7"/>
  <c r="J5" i="7"/>
  <c r="T78" i="714" l="1"/>
  <c r="Q79" i="714"/>
  <c r="A13" i="640"/>
  <c r="S12" i="640"/>
  <c r="Q12" i="640"/>
  <c r="R12" i="640"/>
  <c r="D11" i="640"/>
  <c r="C11" i="640"/>
  <c r="B11" i="640"/>
  <c r="T79" i="714" l="1"/>
  <c r="Q80" i="714"/>
  <c r="A14" i="640"/>
  <c r="Q13" i="640"/>
  <c r="R13" i="640"/>
  <c r="S13" i="640"/>
  <c r="B12" i="640"/>
  <c r="C12" i="640"/>
  <c r="D12" i="640"/>
  <c r="T80" i="714" l="1"/>
  <c r="Q81" i="714"/>
  <c r="A15" i="640"/>
  <c r="Q14" i="640"/>
  <c r="R14" i="640"/>
  <c r="S14" i="640"/>
  <c r="D13" i="640"/>
  <c r="B13" i="640"/>
  <c r="C13" i="640"/>
  <c r="T81" i="714" l="1"/>
  <c r="Q82" i="714"/>
  <c r="A16" i="640"/>
  <c r="R15" i="640"/>
  <c r="S15" i="640"/>
  <c r="Q15" i="640"/>
  <c r="C14" i="640"/>
  <c r="B14" i="640"/>
  <c r="D14" i="640"/>
  <c r="T82" i="714" l="1"/>
  <c r="Q83" i="714"/>
  <c r="A17" i="640"/>
  <c r="S16" i="640"/>
  <c r="Q16" i="640"/>
  <c r="R16" i="640"/>
  <c r="B15" i="640"/>
  <c r="C15" i="640"/>
  <c r="D15" i="640"/>
  <c r="T83" i="714" l="1"/>
  <c r="Q84" i="714"/>
  <c r="A18" i="640"/>
  <c r="Q17" i="640"/>
  <c r="R17" i="640"/>
  <c r="S17" i="640"/>
  <c r="C16" i="640"/>
  <c r="D16" i="640"/>
  <c r="B16" i="640"/>
  <c r="T84" i="714" l="1"/>
  <c r="Q85" i="714"/>
  <c r="A19" i="640"/>
  <c r="Q18" i="640"/>
  <c r="R18" i="640"/>
  <c r="S18" i="640"/>
  <c r="D17" i="640"/>
  <c r="B17" i="640"/>
  <c r="C17" i="640"/>
  <c r="T85" i="714" l="1"/>
  <c r="Q86" i="714"/>
  <c r="A20" i="640"/>
  <c r="R19" i="640"/>
  <c r="S19" i="640"/>
  <c r="Q19" i="640"/>
  <c r="B18" i="640"/>
  <c r="C18" i="640"/>
  <c r="D18" i="640"/>
  <c r="T86" i="714" l="1"/>
  <c r="Q87" i="714"/>
  <c r="A21" i="640"/>
  <c r="S20" i="640"/>
  <c r="Q20" i="640"/>
  <c r="R20" i="640"/>
  <c r="B19" i="640"/>
  <c r="C19" i="640"/>
  <c r="D19" i="640"/>
  <c r="T87" i="714" l="1"/>
  <c r="Q88" i="714"/>
  <c r="A22" i="640"/>
  <c r="Q21" i="640"/>
  <c r="R21" i="640"/>
  <c r="S21" i="640"/>
  <c r="C20" i="640"/>
  <c r="D20" i="640"/>
  <c r="B20" i="640"/>
  <c r="T88" i="714" l="1"/>
  <c r="Q89" i="714"/>
  <c r="A23" i="640"/>
  <c r="Q22" i="640"/>
  <c r="R22" i="640"/>
  <c r="S22" i="640"/>
  <c r="D21" i="640"/>
  <c r="B21" i="640"/>
  <c r="C21" i="640"/>
  <c r="T89" i="714" l="1"/>
  <c r="Q90" i="714"/>
  <c r="A24" i="640"/>
  <c r="R23" i="640"/>
  <c r="S23" i="640"/>
  <c r="Q23" i="640"/>
  <c r="B22" i="640"/>
  <c r="C22" i="640"/>
  <c r="D22" i="640"/>
  <c r="T90" i="714" l="1"/>
  <c r="Q91" i="714"/>
  <c r="A25" i="640"/>
  <c r="S24" i="640"/>
  <c r="Q24" i="640"/>
  <c r="R24" i="640"/>
  <c r="B23" i="640"/>
  <c r="C23" i="640"/>
  <c r="D23" i="640"/>
  <c r="T91" i="714" l="1"/>
  <c r="Q92" i="714"/>
  <c r="A26" i="640"/>
  <c r="Q25" i="640"/>
  <c r="R25" i="640"/>
  <c r="S25" i="640"/>
  <c r="C24" i="640"/>
  <c r="D24" i="640"/>
  <c r="B24" i="640"/>
  <c r="T92" i="714" l="1"/>
  <c r="Q93" i="714"/>
  <c r="A27" i="640"/>
  <c r="Q26" i="640"/>
  <c r="R26" i="640"/>
  <c r="S26" i="640"/>
  <c r="D25" i="640"/>
  <c r="B25" i="640"/>
  <c r="C25" i="640"/>
  <c r="T93" i="714" l="1"/>
  <c r="Q94" i="714"/>
  <c r="A28" i="640"/>
  <c r="R27" i="640"/>
  <c r="S27" i="640"/>
  <c r="Q27" i="640"/>
  <c r="B26" i="640"/>
  <c r="C26" i="640"/>
  <c r="D26" i="640"/>
  <c r="T94" i="714" l="1"/>
  <c r="Q95" i="714"/>
  <c r="A29" i="640"/>
  <c r="S28" i="640"/>
  <c r="Q28" i="640"/>
  <c r="R28" i="640"/>
  <c r="B27" i="640"/>
  <c r="C27" i="640"/>
  <c r="D27" i="640"/>
  <c r="T95" i="714" l="1"/>
  <c r="Q96" i="714"/>
  <c r="A30" i="640"/>
  <c r="Q29" i="640"/>
  <c r="R29" i="640"/>
  <c r="S29" i="640"/>
  <c r="C28" i="640"/>
  <c r="D28" i="640"/>
  <c r="B28" i="640"/>
  <c r="T96" i="714" l="1"/>
  <c r="Q97" i="714"/>
  <c r="A31" i="640"/>
  <c r="Q30" i="640"/>
  <c r="R30" i="640"/>
  <c r="S30" i="640"/>
  <c r="D29" i="640"/>
  <c r="B29" i="640"/>
  <c r="C29" i="640"/>
  <c r="T97" i="714" l="1"/>
  <c r="Q98" i="714"/>
  <c r="A32" i="640"/>
  <c r="R31" i="640"/>
  <c r="S31" i="640"/>
  <c r="Q31" i="640"/>
  <c r="B30" i="640"/>
  <c r="C30" i="640"/>
  <c r="D30" i="640"/>
  <c r="T98" i="714" l="1"/>
  <c r="Q99" i="714"/>
  <c r="A33" i="640"/>
  <c r="S32" i="640"/>
  <c r="Q32" i="640"/>
  <c r="R32" i="640"/>
  <c r="B31" i="640"/>
  <c r="C31" i="640"/>
  <c r="D31" i="640"/>
  <c r="T99" i="714" l="1"/>
  <c r="Q100" i="714"/>
  <c r="A34" i="640"/>
  <c r="Q33" i="640"/>
  <c r="R33" i="640"/>
  <c r="S33" i="640"/>
  <c r="C32" i="640"/>
  <c r="D32" i="640"/>
  <c r="B32" i="640"/>
  <c r="T100" i="714" l="1"/>
  <c r="Q101" i="714"/>
  <c r="A35" i="640"/>
  <c r="Q34" i="640"/>
  <c r="R34" i="640"/>
  <c r="S34" i="640"/>
  <c r="D33" i="640"/>
  <c r="B33" i="640"/>
  <c r="C33" i="640"/>
  <c r="T101" i="714" l="1"/>
  <c r="T103" i="714" s="1"/>
  <c r="A36" i="640"/>
  <c r="R35" i="640"/>
  <c r="S35" i="640"/>
  <c r="Q35" i="640"/>
  <c r="B34" i="640"/>
  <c r="C34" i="640"/>
  <c r="D34" i="640"/>
  <c r="A37" i="640" l="1"/>
  <c r="S36" i="640"/>
  <c r="Q36" i="640"/>
  <c r="R36" i="640"/>
  <c r="B35" i="640"/>
  <c r="C35" i="640"/>
  <c r="D35" i="640"/>
  <c r="A38" i="640" l="1"/>
  <c r="Q37" i="640"/>
  <c r="R37" i="640"/>
  <c r="S37" i="640"/>
  <c r="C36" i="640"/>
  <c r="D36" i="640"/>
  <c r="B36" i="640"/>
  <c r="A39" i="640" l="1"/>
  <c r="Q38" i="640"/>
  <c r="R38" i="640"/>
  <c r="S38" i="640"/>
  <c r="D37" i="640"/>
  <c r="B37" i="640"/>
  <c r="C37" i="640"/>
  <c r="A40" i="640" l="1"/>
  <c r="R39" i="640"/>
  <c r="S39" i="640"/>
  <c r="Q39" i="640"/>
  <c r="B38" i="640"/>
  <c r="C38" i="640"/>
  <c r="D38" i="640"/>
  <c r="A41" i="640" l="1"/>
  <c r="S40" i="640"/>
  <c r="Q40" i="640"/>
  <c r="R40" i="640"/>
  <c r="B39" i="640"/>
  <c r="C39" i="640"/>
  <c r="D39" i="640"/>
  <c r="A42" i="640" l="1"/>
  <c r="Q41" i="640"/>
  <c r="R41" i="640"/>
  <c r="S41" i="640"/>
  <c r="C40" i="640"/>
  <c r="D40" i="640"/>
  <c r="B40" i="640"/>
  <c r="A43" i="640" l="1"/>
  <c r="Q42" i="640"/>
  <c r="R42" i="640"/>
  <c r="S42" i="640"/>
  <c r="D41" i="640"/>
  <c r="B41" i="640"/>
  <c r="C41" i="640"/>
  <c r="A44" i="640" l="1"/>
  <c r="R43" i="640"/>
  <c r="S43" i="640"/>
  <c r="Q43" i="640"/>
  <c r="B42" i="640"/>
  <c r="C42" i="640"/>
  <c r="D42" i="640"/>
  <c r="A45" i="640" l="1"/>
  <c r="S44" i="640"/>
  <c r="Q44" i="640"/>
  <c r="R44" i="640"/>
  <c r="B43" i="640"/>
  <c r="C43" i="640"/>
  <c r="D43" i="640"/>
  <c r="A46" i="640" l="1"/>
  <c r="Q45" i="640"/>
  <c r="R45" i="640"/>
  <c r="S45" i="640"/>
  <c r="C44" i="640"/>
  <c r="D44" i="640"/>
  <c r="B44" i="640"/>
  <c r="A47" i="640" l="1"/>
  <c r="Q46" i="640"/>
  <c r="R46" i="640"/>
  <c r="S46" i="640"/>
  <c r="D45" i="640"/>
  <c r="B45" i="640"/>
  <c r="C45" i="640"/>
  <c r="A48" i="640" l="1"/>
  <c r="R47" i="640"/>
  <c r="S47" i="640"/>
  <c r="Q47" i="640"/>
  <c r="B46" i="640"/>
  <c r="C46" i="640"/>
  <c r="D46" i="640"/>
  <c r="A49" i="640" l="1"/>
  <c r="S48" i="640"/>
  <c r="Q48" i="640"/>
  <c r="R48" i="640"/>
  <c r="B47" i="640"/>
  <c r="C47" i="640"/>
  <c r="D47" i="640"/>
  <c r="A50" i="640" l="1"/>
  <c r="Q49" i="640"/>
  <c r="R49" i="640"/>
  <c r="S49" i="640"/>
  <c r="C48" i="640"/>
  <c r="D48" i="640"/>
  <c r="B48" i="640"/>
  <c r="A51" i="640" l="1"/>
  <c r="Q50" i="640"/>
  <c r="R50" i="640"/>
  <c r="S50" i="640"/>
  <c r="D49" i="640"/>
  <c r="B49" i="640"/>
  <c r="C49" i="640"/>
  <c r="L7" i="547"/>
  <c r="L10" i="547" s="1"/>
  <c r="A52" i="640" l="1"/>
  <c r="R51" i="640"/>
  <c r="S51" i="640"/>
  <c r="Q51" i="640"/>
  <c r="B50" i="640"/>
  <c r="C50" i="640"/>
  <c r="D50" i="640"/>
  <c r="A53" i="640" l="1"/>
  <c r="S52" i="640"/>
  <c r="Q52" i="640"/>
  <c r="R52" i="640"/>
  <c r="B51" i="640"/>
  <c r="C51" i="640"/>
  <c r="D51" i="640"/>
  <c r="A54" i="640" l="1"/>
  <c r="Q53" i="640"/>
  <c r="R53" i="640"/>
  <c r="S53" i="640"/>
  <c r="C52" i="640"/>
  <c r="D52" i="640"/>
  <c r="B52" i="640"/>
  <c r="H7" i="625"/>
  <c r="G7" i="625"/>
  <c r="F7" i="625"/>
  <c r="K7" i="625" s="1"/>
  <c r="S6" i="625" s="1"/>
  <c r="A55" i="640" l="1"/>
  <c r="Q54" i="640"/>
  <c r="R54" i="640"/>
  <c r="S54" i="640"/>
  <c r="D53" i="640"/>
  <c r="B53" i="640"/>
  <c r="C53" i="640"/>
  <c r="S9" i="625"/>
  <c r="I7" i="625"/>
  <c r="J7" i="625" s="1"/>
  <c r="AA5" i="625" s="1"/>
  <c r="V15" i="625"/>
  <c r="AA6" i="625"/>
  <c r="V6" i="625"/>
  <c r="P6" i="625"/>
  <c r="H11" i="625"/>
  <c r="H12" i="625"/>
  <c r="I12" i="625" s="1"/>
  <c r="L7" i="625"/>
  <c r="AA9" i="625" s="1"/>
  <c r="G5" i="622"/>
  <c r="G6" i="622" s="1"/>
  <c r="F5" i="622"/>
  <c r="E5" i="622"/>
  <c r="G3" i="622"/>
  <c r="F3" i="622"/>
  <c r="E3" i="622"/>
  <c r="A56" i="640" l="1"/>
  <c r="R55" i="640"/>
  <c r="S55" i="640"/>
  <c r="Q55" i="640"/>
  <c r="B54" i="640"/>
  <c r="C54" i="640"/>
  <c r="D54" i="640"/>
  <c r="V5" i="625"/>
  <c r="V14" i="625"/>
  <c r="G12" i="625"/>
  <c r="K12" i="625" s="1"/>
  <c r="M7" i="625"/>
  <c r="G11" i="625"/>
  <c r="K11" i="625" s="1"/>
  <c r="S5" i="625"/>
  <c r="P5" i="625"/>
  <c r="G7" i="622"/>
  <c r="F6" i="622"/>
  <c r="V9" i="625"/>
  <c r="P14" i="625"/>
  <c r="AA7" i="625"/>
  <c r="P15" i="625"/>
  <c r="S15" i="625" s="1"/>
  <c r="P9" i="625"/>
  <c r="J12" i="625"/>
  <c r="A5" i="622"/>
  <c r="E6" i="622" s="1"/>
  <c r="G45" i="621"/>
  <c r="G46" i="621" s="1"/>
  <c r="G47" i="621" s="1"/>
  <c r="G48" i="621" s="1"/>
  <c r="G49" i="621" s="1"/>
  <c r="G50" i="621" s="1"/>
  <c r="G51" i="621" s="1"/>
  <c r="G52" i="621" s="1"/>
  <c r="G53" i="621" s="1"/>
  <c r="G54" i="621" s="1"/>
  <c r="N48" i="621" s="1"/>
  <c r="F45" i="621"/>
  <c r="E45" i="621"/>
  <c r="E46" i="621" s="1"/>
  <c r="E47" i="621" s="1"/>
  <c r="E48" i="621" s="1"/>
  <c r="E49" i="621" s="1"/>
  <c r="E50" i="621" s="1"/>
  <c r="E51" i="621" s="1"/>
  <c r="E52" i="621" s="1"/>
  <c r="E53" i="621" s="1"/>
  <c r="E54" i="621" s="1"/>
  <c r="G43" i="621"/>
  <c r="F43" i="621"/>
  <c r="C54" i="621"/>
  <c r="B54" i="621"/>
  <c r="G26" i="621"/>
  <c r="F26" i="621"/>
  <c r="F27" i="621" s="1"/>
  <c r="E26" i="621"/>
  <c r="E27" i="621" s="1"/>
  <c r="E28" i="621" s="1"/>
  <c r="E29" i="621" s="1"/>
  <c r="E30" i="621" s="1"/>
  <c r="E31" i="621" s="1"/>
  <c r="E32" i="621" s="1"/>
  <c r="E33" i="621" s="1"/>
  <c r="E34" i="621" s="1"/>
  <c r="E35" i="621" s="1"/>
  <c r="C14" i="622"/>
  <c r="B14" i="622"/>
  <c r="C35" i="621"/>
  <c r="B35" i="621"/>
  <c r="C18" i="621"/>
  <c r="L9" i="621" s="1"/>
  <c r="B18" i="621"/>
  <c r="K9" i="621" s="1"/>
  <c r="E8" i="621"/>
  <c r="E9" i="621" s="1"/>
  <c r="D8" i="621"/>
  <c r="D9" i="621" s="1"/>
  <c r="A57" i="640" l="1"/>
  <c r="S56" i="640"/>
  <c r="Q56" i="640"/>
  <c r="R56" i="640"/>
  <c r="B55" i="640"/>
  <c r="C55" i="640"/>
  <c r="D55" i="640"/>
  <c r="S14" i="625"/>
  <c r="F7" i="622"/>
  <c r="G8" i="622"/>
  <c r="F28" i="621"/>
  <c r="I51" i="621"/>
  <c r="I49" i="621"/>
  <c r="F46" i="621"/>
  <c r="I54" i="621"/>
  <c r="I47" i="621"/>
  <c r="I45" i="621"/>
  <c r="N46" i="621"/>
  <c r="N47" i="621" s="1"/>
  <c r="N50" i="621" s="1"/>
  <c r="G27" i="621"/>
  <c r="I52" i="621"/>
  <c r="I50" i="621"/>
  <c r="I44" i="621"/>
  <c r="I53" i="621"/>
  <c r="I48" i="621"/>
  <c r="I46" i="621"/>
  <c r="A6" i="622"/>
  <c r="E7" i="622" s="1"/>
  <c r="M9" i="621"/>
  <c r="D10" i="621"/>
  <c r="E10" i="621"/>
  <c r="A58" i="640" l="1"/>
  <c r="Q57" i="640"/>
  <c r="R57" i="640"/>
  <c r="S57" i="640"/>
  <c r="C56" i="640"/>
  <c r="D56" i="640"/>
  <c r="B56" i="640"/>
  <c r="G9" i="622"/>
  <c r="F8" i="622"/>
  <c r="F47" i="621"/>
  <c r="G28" i="621"/>
  <c r="F29" i="621"/>
  <c r="A7" i="622"/>
  <c r="E8" i="622" s="1"/>
  <c r="E11" i="621"/>
  <c r="D11" i="621"/>
  <c r="A59" i="640" l="1"/>
  <c r="Q58" i="640"/>
  <c r="R58" i="640"/>
  <c r="S58" i="640"/>
  <c r="D57" i="640"/>
  <c r="B57" i="640"/>
  <c r="C57" i="640"/>
  <c r="F9" i="622"/>
  <c r="G10" i="622"/>
  <c r="G29" i="621"/>
  <c r="F30" i="621"/>
  <c r="F48" i="621"/>
  <c r="A8" i="622"/>
  <c r="E9" i="622" s="1"/>
  <c r="E12" i="621"/>
  <c r="D12" i="621"/>
  <c r="A60" i="640" l="1"/>
  <c r="R59" i="640"/>
  <c r="S59" i="640"/>
  <c r="Q59" i="640"/>
  <c r="B58" i="640"/>
  <c r="C58" i="640"/>
  <c r="D58" i="640"/>
  <c r="G11" i="622"/>
  <c r="F10" i="622"/>
  <c r="F31" i="621"/>
  <c r="M27" i="621"/>
  <c r="F49" i="621"/>
  <c r="G30" i="621"/>
  <c r="A9" i="622"/>
  <c r="E10" i="622" s="1"/>
  <c r="M4" i="622" s="1"/>
  <c r="K7" i="621"/>
  <c r="K11" i="621" s="1"/>
  <c r="D13" i="621"/>
  <c r="E13" i="621"/>
  <c r="L7" i="621"/>
  <c r="N4" i="622" l="1"/>
  <c r="O4" i="622" s="1"/>
  <c r="A61" i="640"/>
  <c r="S60" i="640"/>
  <c r="Q60" i="640"/>
  <c r="R60" i="640"/>
  <c r="B59" i="640"/>
  <c r="C59" i="640"/>
  <c r="D59" i="640"/>
  <c r="F11" i="622"/>
  <c r="G12" i="622"/>
  <c r="G31" i="621"/>
  <c r="N27" i="621"/>
  <c r="O27" i="621" s="1"/>
  <c r="F50" i="621"/>
  <c r="M46" i="621"/>
  <c r="F32" i="621"/>
  <c r="A10" i="622"/>
  <c r="E11" i="622" s="1"/>
  <c r="M7" i="621"/>
  <c r="L8" i="621"/>
  <c r="L11" i="621" s="1"/>
  <c r="D14" i="621"/>
  <c r="K8" i="621"/>
  <c r="E14" i="621"/>
  <c r="A62" i="640" l="1"/>
  <c r="Q61" i="640"/>
  <c r="R61" i="640"/>
  <c r="S61" i="640"/>
  <c r="C60" i="640"/>
  <c r="D60" i="640"/>
  <c r="B60" i="640"/>
  <c r="F12" i="622"/>
  <c r="G13" i="622"/>
  <c r="F51" i="621"/>
  <c r="F33" i="621"/>
  <c r="O46" i="621"/>
  <c r="G32" i="621"/>
  <c r="A11" i="622"/>
  <c r="E12" i="622" s="1"/>
  <c r="E15" i="621"/>
  <c r="D15" i="621"/>
  <c r="M11" i="621"/>
  <c r="M8" i="621"/>
  <c r="A63" i="640" l="1"/>
  <c r="Q62" i="640"/>
  <c r="R62" i="640"/>
  <c r="S62" i="640"/>
  <c r="D61" i="640"/>
  <c r="B61" i="640"/>
  <c r="C61" i="640"/>
  <c r="G14" i="622"/>
  <c r="I12" i="622" s="1"/>
  <c r="F13" i="622"/>
  <c r="F34" i="621"/>
  <c r="F52" i="621"/>
  <c r="G33" i="621"/>
  <c r="A12" i="622"/>
  <c r="E13" i="622" s="1"/>
  <c r="D16" i="621"/>
  <c r="E16" i="621"/>
  <c r="A64" i="640" l="1"/>
  <c r="R63" i="640"/>
  <c r="S63" i="640"/>
  <c r="Q63" i="640"/>
  <c r="B62" i="640"/>
  <c r="C62" i="640"/>
  <c r="D62" i="640"/>
  <c r="I13" i="622"/>
  <c r="F14" i="622"/>
  <c r="H13" i="622" s="1"/>
  <c r="N6" i="622"/>
  <c r="I4" i="622"/>
  <c r="I5" i="622"/>
  <c r="I14" i="622"/>
  <c r="I6" i="622"/>
  <c r="I7" i="622"/>
  <c r="I8" i="622"/>
  <c r="I9" i="622"/>
  <c r="I10" i="622"/>
  <c r="I11" i="622"/>
  <c r="F53" i="621"/>
  <c r="G34" i="621"/>
  <c r="F35" i="621"/>
  <c r="H34" i="621" s="1"/>
  <c r="A13" i="622"/>
  <c r="E14" i="622" s="1"/>
  <c r="E17" i="621"/>
  <c r="G16" i="621" s="1"/>
  <c r="D17" i="621"/>
  <c r="F9" i="621" s="1"/>
  <c r="N5" i="622" l="1"/>
  <c r="B4" i="744"/>
  <c r="A65" i="640"/>
  <c r="S64" i="640"/>
  <c r="Q64" i="640"/>
  <c r="R64" i="640"/>
  <c r="B63" i="640"/>
  <c r="C63" i="640"/>
  <c r="D63" i="640"/>
  <c r="H11" i="622"/>
  <c r="H12" i="622"/>
  <c r="J12" i="622" s="1"/>
  <c r="N8" i="622"/>
  <c r="M6" i="622"/>
  <c r="B3" i="744" s="1"/>
  <c r="H14" i="622"/>
  <c r="J14" i="622" s="1"/>
  <c r="H4" i="622"/>
  <c r="H5" i="622"/>
  <c r="H6" i="622"/>
  <c r="H7" i="622"/>
  <c r="H8" i="622"/>
  <c r="H9" i="622"/>
  <c r="H10" i="622"/>
  <c r="G35" i="621"/>
  <c r="I34" i="621" s="1"/>
  <c r="M29" i="621"/>
  <c r="H26" i="621"/>
  <c r="H35" i="621"/>
  <c r="H25" i="621"/>
  <c r="H27" i="621"/>
  <c r="H28" i="621"/>
  <c r="H29" i="621"/>
  <c r="H30" i="621"/>
  <c r="H31" i="621"/>
  <c r="H32" i="621"/>
  <c r="H33" i="621"/>
  <c r="F54" i="621"/>
  <c r="H53" i="621" s="1"/>
  <c r="F17" i="621"/>
  <c r="F8" i="621"/>
  <c r="F7" i="621"/>
  <c r="F10" i="621"/>
  <c r="F11" i="621"/>
  <c r="F12" i="621"/>
  <c r="F13" i="621"/>
  <c r="F14" i="621"/>
  <c r="F15" i="621"/>
  <c r="G8" i="621"/>
  <c r="G7" i="621"/>
  <c r="G17" i="621"/>
  <c r="G9" i="621"/>
  <c r="G10" i="621"/>
  <c r="G11" i="621"/>
  <c r="G12" i="621"/>
  <c r="G13" i="621"/>
  <c r="G14" i="621"/>
  <c r="G15" i="621"/>
  <c r="F16" i="621"/>
  <c r="A66" i="640" l="1"/>
  <c r="Q65" i="640"/>
  <c r="R65" i="640"/>
  <c r="S65" i="640"/>
  <c r="C64" i="640"/>
  <c r="D64" i="640"/>
  <c r="B64" i="640"/>
  <c r="J34" i="621"/>
  <c r="J9" i="622"/>
  <c r="J11" i="622"/>
  <c r="H16" i="621"/>
  <c r="J5" i="622"/>
  <c r="J13" i="622"/>
  <c r="J4" i="622"/>
  <c r="J10" i="622"/>
  <c r="J6" i="622"/>
  <c r="J7" i="622"/>
  <c r="J8" i="622"/>
  <c r="M5" i="622"/>
  <c r="O5" i="622" s="1"/>
  <c r="O6" i="622"/>
  <c r="O8" i="622" s="1"/>
  <c r="M8" i="622"/>
  <c r="M28" i="621"/>
  <c r="M31" i="621"/>
  <c r="M48" i="621"/>
  <c r="H54" i="621"/>
  <c r="J54" i="621" s="1"/>
  <c r="H44" i="621"/>
  <c r="H45" i="621"/>
  <c r="H46" i="621"/>
  <c r="H47" i="621"/>
  <c r="H48" i="621"/>
  <c r="H49" i="621"/>
  <c r="H50" i="621"/>
  <c r="H51" i="621"/>
  <c r="H52" i="621"/>
  <c r="J52" i="621" s="1"/>
  <c r="I35" i="621"/>
  <c r="J35" i="621" s="1"/>
  <c r="N29" i="621"/>
  <c r="N28" i="621" s="1"/>
  <c r="I25" i="621"/>
  <c r="J25" i="621" s="1"/>
  <c r="I26" i="621"/>
  <c r="J26" i="621" s="1"/>
  <c r="I27" i="621"/>
  <c r="J27" i="621" s="1"/>
  <c r="I28" i="621"/>
  <c r="J28" i="621" s="1"/>
  <c r="I29" i="621"/>
  <c r="J29" i="621" s="1"/>
  <c r="I30" i="621"/>
  <c r="J30" i="621" s="1"/>
  <c r="I31" i="621"/>
  <c r="J31" i="621" s="1"/>
  <c r="I32" i="621"/>
  <c r="J32" i="621" s="1"/>
  <c r="I33" i="621"/>
  <c r="J33" i="621" s="1"/>
  <c r="H12" i="621"/>
  <c r="H7" i="621"/>
  <c r="H15" i="621"/>
  <c r="H11" i="621"/>
  <c r="H8" i="621"/>
  <c r="H14" i="621"/>
  <c r="H10" i="621"/>
  <c r="H17" i="621"/>
  <c r="H13" i="621"/>
  <c r="H9" i="621"/>
  <c r="A67" i="640" l="1"/>
  <c r="Q66" i="640"/>
  <c r="R66" i="640"/>
  <c r="S66" i="640"/>
  <c r="D65" i="640"/>
  <c r="B65" i="640"/>
  <c r="C65" i="640"/>
  <c r="J49" i="621"/>
  <c r="J36" i="621"/>
  <c r="J48" i="621"/>
  <c r="J44" i="621"/>
  <c r="J15" i="622"/>
  <c r="J45" i="621"/>
  <c r="N31" i="621"/>
  <c r="O28" i="621"/>
  <c r="J47" i="621"/>
  <c r="J51" i="621"/>
  <c r="O29" i="621"/>
  <c r="O31" i="621" s="1"/>
  <c r="J50" i="621"/>
  <c r="J46" i="621"/>
  <c r="O48" i="621"/>
  <c r="O50" i="621" s="1"/>
  <c r="M47" i="621"/>
  <c r="O47" i="621" s="1"/>
  <c r="M50" i="621"/>
  <c r="J53" i="621"/>
  <c r="H18" i="621"/>
  <c r="B5" i="744" s="1"/>
  <c r="B7" i="744" l="1"/>
  <c r="B8" i="744"/>
  <c r="B6" i="744"/>
  <c r="B9" i="744" s="1"/>
  <c r="B13" i="744" s="1"/>
  <c r="A68" i="640"/>
  <c r="R67" i="640"/>
  <c r="S67" i="640"/>
  <c r="Q67" i="640"/>
  <c r="B66" i="640"/>
  <c r="C66" i="640"/>
  <c r="D66" i="640"/>
  <c r="J55" i="621"/>
  <c r="B12" i="744" l="1"/>
  <c r="A69" i="640"/>
  <c r="S68" i="640"/>
  <c r="Q68" i="640"/>
  <c r="R68" i="640"/>
  <c r="B67" i="640"/>
  <c r="C67" i="640"/>
  <c r="D67" i="640"/>
  <c r="A70" i="640" l="1"/>
  <c r="Q69" i="640"/>
  <c r="R69" i="640"/>
  <c r="S69" i="640"/>
  <c r="C68" i="640"/>
  <c r="D68" i="640"/>
  <c r="B68" i="640"/>
  <c r="A71" i="640" l="1"/>
  <c r="Q70" i="640"/>
  <c r="R70" i="640"/>
  <c r="S70" i="640"/>
  <c r="D69" i="640"/>
  <c r="B69" i="640"/>
  <c r="C69" i="640"/>
  <c r="A72" i="640" l="1"/>
  <c r="R71" i="640"/>
  <c r="S71" i="640"/>
  <c r="Q71" i="640"/>
  <c r="B70" i="640"/>
  <c r="C70" i="640"/>
  <c r="D70" i="640"/>
  <c r="A73" i="640" l="1"/>
  <c r="S72" i="640"/>
  <c r="Q72" i="640"/>
  <c r="R72" i="640"/>
  <c r="B71" i="640"/>
  <c r="C71" i="640"/>
  <c r="D71" i="640"/>
  <c r="A74" i="640" l="1"/>
  <c r="Q73" i="640"/>
  <c r="R73" i="640"/>
  <c r="S73" i="640"/>
  <c r="C72" i="640"/>
  <c r="D72" i="640"/>
  <c r="B72" i="640"/>
  <c r="A75" i="640" l="1"/>
  <c r="Q74" i="640"/>
  <c r="R74" i="640"/>
  <c r="S74" i="640"/>
  <c r="D73" i="640"/>
  <c r="B73" i="640"/>
  <c r="C73" i="640"/>
  <c r="A76" i="640" l="1"/>
  <c r="R75" i="640"/>
  <c r="S75" i="640"/>
  <c r="Q75" i="640"/>
  <c r="B74" i="640"/>
  <c r="C74" i="640"/>
  <c r="D74" i="640"/>
  <c r="AN12" i="535"/>
  <c r="A77" i="640" l="1"/>
  <c r="S76" i="640"/>
  <c r="Q76" i="640"/>
  <c r="R76" i="640"/>
  <c r="B75" i="640"/>
  <c r="C75" i="640"/>
  <c r="D75" i="640"/>
  <c r="A78" i="640" l="1"/>
  <c r="Q77" i="640"/>
  <c r="R77" i="640"/>
  <c r="S77" i="640"/>
  <c r="C76" i="640"/>
  <c r="D76" i="640"/>
  <c r="B76" i="640"/>
  <c r="A79" i="640" l="1"/>
  <c r="Q78" i="640"/>
  <c r="R78" i="640"/>
  <c r="S78" i="640"/>
  <c r="D77" i="640"/>
  <c r="B77" i="640"/>
  <c r="C77" i="640"/>
  <c r="A80" i="640" l="1"/>
  <c r="R79" i="640"/>
  <c r="S79" i="640"/>
  <c r="Q79" i="640"/>
  <c r="B78" i="640"/>
  <c r="C78" i="640"/>
  <c r="D78" i="640"/>
  <c r="A81" i="640" l="1"/>
  <c r="S80" i="640"/>
  <c r="Q80" i="640"/>
  <c r="R80" i="640"/>
  <c r="B79" i="640"/>
  <c r="C79" i="640"/>
  <c r="D79" i="640"/>
  <c r="A82" i="640" l="1"/>
  <c r="Q81" i="640"/>
  <c r="R81" i="640"/>
  <c r="S81" i="640"/>
  <c r="C80" i="640"/>
  <c r="D80" i="640"/>
  <c r="B80" i="640"/>
  <c r="A6" i="610"/>
  <c r="I6" i="610" s="1"/>
  <c r="O6" i="610" s="1"/>
  <c r="U6" i="610" s="1"/>
  <c r="AA6" i="610" s="1"/>
  <c r="AG6" i="610" s="1"/>
  <c r="B6" i="610"/>
  <c r="J6" i="610" s="1"/>
  <c r="P6" i="610" s="1"/>
  <c r="V6" i="610" s="1"/>
  <c r="AB6" i="610" s="1"/>
  <c r="AH6" i="610" s="1"/>
  <c r="A7" i="610"/>
  <c r="I7" i="610" s="1"/>
  <c r="O7" i="610" s="1"/>
  <c r="U7" i="610" s="1"/>
  <c r="AA7" i="610" s="1"/>
  <c r="AG7" i="610" s="1"/>
  <c r="B7" i="610"/>
  <c r="J7" i="610" s="1"/>
  <c r="P7" i="610" s="1"/>
  <c r="V7" i="610" s="1"/>
  <c r="AB7" i="610" s="1"/>
  <c r="AH7" i="610" s="1"/>
  <c r="A8" i="610"/>
  <c r="I8" i="610" s="1"/>
  <c r="O8" i="610" s="1"/>
  <c r="U8" i="610" s="1"/>
  <c r="AA8" i="610" s="1"/>
  <c r="AG8" i="610" s="1"/>
  <c r="B8" i="610"/>
  <c r="J8" i="610" s="1"/>
  <c r="P8" i="610" s="1"/>
  <c r="V8" i="610" s="1"/>
  <c r="AB8" i="610" s="1"/>
  <c r="AH8" i="610" s="1"/>
  <c r="A9" i="610"/>
  <c r="I9" i="610" s="1"/>
  <c r="O9" i="610" s="1"/>
  <c r="U9" i="610" s="1"/>
  <c r="AA9" i="610" s="1"/>
  <c r="AG9" i="610" s="1"/>
  <c r="B9" i="610"/>
  <c r="A10" i="610"/>
  <c r="I10" i="610" s="1"/>
  <c r="O10" i="610" s="1"/>
  <c r="U10" i="610" s="1"/>
  <c r="AA10" i="610" s="1"/>
  <c r="AG10" i="610" s="1"/>
  <c r="B10" i="610"/>
  <c r="J10" i="610" s="1"/>
  <c r="P10" i="610" s="1"/>
  <c r="V10" i="610" s="1"/>
  <c r="AB10" i="610" s="1"/>
  <c r="AH10" i="610" s="1"/>
  <c r="A11" i="610"/>
  <c r="I11" i="610" s="1"/>
  <c r="O11" i="610" s="1"/>
  <c r="U11" i="610" s="1"/>
  <c r="AA11" i="610" s="1"/>
  <c r="AG11" i="610" s="1"/>
  <c r="B11" i="610"/>
  <c r="J11" i="610" s="1"/>
  <c r="P11" i="610" s="1"/>
  <c r="V11" i="610" s="1"/>
  <c r="AB11" i="610" s="1"/>
  <c r="AH11" i="610" s="1"/>
  <c r="A12" i="610"/>
  <c r="I12" i="610" s="1"/>
  <c r="O12" i="610" s="1"/>
  <c r="U12" i="610" s="1"/>
  <c r="B12" i="610"/>
  <c r="J12" i="610" s="1"/>
  <c r="A13" i="610"/>
  <c r="I13" i="610" s="1"/>
  <c r="O13" i="610" s="1"/>
  <c r="U13" i="610" s="1"/>
  <c r="AA13" i="610" s="1"/>
  <c r="AG13" i="610" s="1"/>
  <c r="B13" i="610"/>
  <c r="J13" i="610" s="1"/>
  <c r="P13" i="610" s="1"/>
  <c r="V13" i="610" s="1"/>
  <c r="AB13" i="610" s="1"/>
  <c r="A14" i="610"/>
  <c r="I14" i="610" s="1"/>
  <c r="O14" i="610" s="1"/>
  <c r="U14" i="610" s="1"/>
  <c r="AA14" i="610" s="1"/>
  <c r="AG14" i="610" s="1"/>
  <c r="B14" i="610"/>
  <c r="J14" i="610" s="1"/>
  <c r="P14" i="610" s="1"/>
  <c r="V14" i="610" s="1"/>
  <c r="AB14" i="610" s="1"/>
  <c r="AH14" i="610" s="1"/>
  <c r="A15" i="610"/>
  <c r="I15" i="610" s="1"/>
  <c r="O15" i="610" s="1"/>
  <c r="U15" i="610" s="1"/>
  <c r="AA15" i="610" s="1"/>
  <c r="AG15" i="610" s="1"/>
  <c r="B15" i="610"/>
  <c r="B5" i="610"/>
  <c r="J5" i="610" s="1"/>
  <c r="P5" i="610" s="1"/>
  <c r="A5" i="610"/>
  <c r="I5" i="610" l="1"/>
  <c r="O5" i="610" s="1"/>
  <c r="U5" i="610" s="1"/>
  <c r="AA5" i="610" s="1"/>
  <c r="AG5" i="610" s="1"/>
  <c r="E8" i="610"/>
  <c r="A83" i="640"/>
  <c r="Q82" i="640"/>
  <c r="R82" i="640"/>
  <c r="S82" i="640"/>
  <c r="D81" i="640"/>
  <c r="B81" i="640"/>
  <c r="C81" i="640"/>
  <c r="J15" i="610"/>
  <c r="P15" i="610" s="1"/>
  <c r="V15" i="610" s="1"/>
  <c r="AB15" i="610" s="1"/>
  <c r="AH15" i="610" s="1"/>
  <c r="AK6" i="610" s="1"/>
  <c r="E7" i="610"/>
  <c r="E14" i="610"/>
  <c r="E15" i="610" s="1"/>
  <c r="E5" i="610"/>
  <c r="E6" i="610"/>
  <c r="M24" i="610" s="1"/>
  <c r="G9" i="609"/>
  <c r="G5" i="609"/>
  <c r="G4" i="609"/>
  <c r="G3" i="609"/>
  <c r="M7" i="610" l="1"/>
  <c r="S6" i="610"/>
  <c r="M26" i="610" s="1"/>
  <c r="AE14" i="610"/>
  <c r="AE16" i="610" s="1"/>
  <c r="S8" i="610"/>
  <c r="AE7" i="610"/>
  <c r="AK7" i="610"/>
  <c r="A84" i="640"/>
  <c r="R83" i="640"/>
  <c r="S83" i="640"/>
  <c r="Q83" i="640"/>
  <c r="B82" i="640"/>
  <c r="C82" i="640"/>
  <c r="D82" i="640"/>
  <c r="M14" i="610"/>
  <c r="M15" i="610" s="1"/>
  <c r="M8" i="610"/>
  <c r="AE8" i="610"/>
  <c r="AK8" i="610"/>
  <c r="S14" i="610"/>
  <c r="S15" i="610" s="1"/>
  <c r="S7" i="610"/>
  <c r="S10" i="610" s="1"/>
  <c r="AE5" i="610"/>
  <c r="M28" i="610" s="1"/>
  <c r="AK5" i="610"/>
  <c r="AK9" i="610" s="1"/>
  <c r="AK14" i="610"/>
  <c r="AK15" i="610" s="1"/>
  <c r="M5" i="610"/>
  <c r="M6" i="610"/>
  <c r="M25" i="610" s="1"/>
  <c r="S5" i="610"/>
  <c r="Y7" i="610"/>
  <c r="AE6" i="610"/>
  <c r="AK10" i="610"/>
  <c r="M29" i="610"/>
  <c r="Y8" i="610"/>
  <c r="Y14" i="610"/>
  <c r="Y5" i="610"/>
  <c r="Y6" i="610"/>
  <c r="E10" i="610"/>
  <c r="E9" i="610"/>
  <c r="E16" i="610"/>
  <c r="G11" i="609"/>
  <c r="G10" i="609"/>
  <c r="M9" i="610" l="1"/>
  <c r="G12" i="609"/>
  <c r="M16" i="610"/>
  <c r="AE15" i="610"/>
  <c r="AE17" i="610" s="1"/>
  <c r="AE18" i="610" s="1"/>
  <c r="O28" i="610" s="1"/>
  <c r="AE10" i="610"/>
  <c r="AE9" i="610"/>
  <c r="A85" i="640"/>
  <c r="S84" i="640"/>
  <c r="Q84" i="640"/>
  <c r="R84" i="640"/>
  <c r="B83" i="640"/>
  <c r="C83" i="640"/>
  <c r="D83" i="640"/>
  <c r="S16" i="610"/>
  <c r="S17" i="610" s="1"/>
  <c r="S18" i="610" s="1"/>
  <c r="S9" i="610"/>
  <c r="S11" i="610" s="1"/>
  <c r="N26" i="610" s="1"/>
  <c r="Y10" i="610"/>
  <c r="M10" i="610"/>
  <c r="M11" i="610" s="1"/>
  <c r="N25" i="610" s="1"/>
  <c r="AK16" i="610"/>
  <c r="AK17" i="610" s="1"/>
  <c r="AK18" i="610" s="1"/>
  <c r="O29" i="610" s="1"/>
  <c r="Y9" i="610"/>
  <c r="M27" i="610"/>
  <c r="AK11" i="610"/>
  <c r="N29" i="610" s="1"/>
  <c r="E11" i="610"/>
  <c r="N24" i="610" s="1"/>
  <c r="E17" i="610"/>
  <c r="E18" i="610" s="1"/>
  <c r="M17" i="610"/>
  <c r="M18" i="610" s="1"/>
  <c r="O25" i="610" s="1"/>
  <c r="Y16" i="610"/>
  <c r="Y15" i="610"/>
  <c r="G6" i="609"/>
  <c r="G13" i="609"/>
  <c r="AE11" i="610" l="1"/>
  <c r="N28" i="610" s="1"/>
  <c r="A86" i="640"/>
  <c r="Q85" i="640"/>
  <c r="R85" i="640"/>
  <c r="S85" i="640"/>
  <c r="C84" i="640"/>
  <c r="D84" i="640"/>
  <c r="B84" i="640"/>
  <c r="P25" i="610"/>
  <c r="Y11" i="610"/>
  <c r="N27" i="610" s="1"/>
  <c r="P29" i="610"/>
  <c r="E19" i="610"/>
  <c r="O24" i="610"/>
  <c r="P24" i="610" s="1"/>
  <c r="P28" i="610"/>
  <c r="S19" i="610"/>
  <c r="O26" i="610"/>
  <c r="P26" i="610" s="1"/>
  <c r="AK19" i="610"/>
  <c r="AE19" i="610"/>
  <c r="Y17" i="610"/>
  <c r="Y18" i="610" s="1"/>
  <c r="M19" i="610"/>
  <c r="G14" i="609"/>
  <c r="A87" i="640" l="1"/>
  <c r="Q86" i="640"/>
  <c r="R86" i="640"/>
  <c r="S86" i="640"/>
  <c r="D85" i="640"/>
  <c r="B85" i="640"/>
  <c r="C85" i="640"/>
  <c r="Y19" i="610"/>
  <c r="O27" i="610"/>
  <c r="P27" i="610" s="1"/>
  <c r="A88" i="640" l="1"/>
  <c r="R87" i="640"/>
  <c r="S87" i="640"/>
  <c r="Q87" i="640"/>
  <c r="B86" i="640"/>
  <c r="C86" i="640"/>
  <c r="D86" i="640"/>
  <c r="A89" i="640" l="1"/>
  <c r="S88" i="640"/>
  <c r="Q88" i="640"/>
  <c r="R88" i="640"/>
  <c r="B87" i="640"/>
  <c r="C87" i="640"/>
  <c r="D87" i="640"/>
  <c r="A90" i="640" l="1"/>
  <c r="Q89" i="640"/>
  <c r="R89" i="640"/>
  <c r="S89" i="640"/>
  <c r="C88" i="640"/>
  <c r="D88" i="640"/>
  <c r="B88" i="640"/>
  <c r="A91" i="640" l="1"/>
  <c r="Q90" i="640"/>
  <c r="R90" i="640"/>
  <c r="S90" i="640"/>
  <c r="D89" i="640"/>
  <c r="B89" i="640"/>
  <c r="C89" i="640"/>
  <c r="A92" i="640" l="1"/>
  <c r="R91" i="640"/>
  <c r="S91" i="640"/>
  <c r="Q91" i="640"/>
  <c r="B90" i="640"/>
  <c r="C90" i="640"/>
  <c r="D90" i="640"/>
  <c r="A93" i="640" l="1"/>
  <c r="S92" i="640"/>
  <c r="Q92" i="640"/>
  <c r="R92" i="640"/>
  <c r="B91" i="640"/>
  <c r="C91" i="640"/>
  <c r="D91" i="640"/>
  <c r="A94" i="640" l="1"/>
  <c r="Q93" i="640"/>
  <c r="R93" i="640"/>
  <c r="S93" i="640"/>
  <c r="C92" i="640"/>
  <c r="D92" i="640"/>
  <c r="B92" i="640"/>
  <c r="A95" i="640" l="1"/>
  <c r="Q94" i="640"/>
  <c r="R94" i="640"/>
  <c r="S94" i="640"/>
  <c r="D93" i="640"/>
  <c r="B93" i="640"/>
  <c r="C93" i="640"/>
  <c r="A96" i="640" l="1"/>
  <c r="R95" i="640"/>
  <c r="Q95" i="640"/>
  <c r="S95" i="640"/>
  <c r="B94" i="640"/>
  <c r="C94" i="640"/>
  <c r="D94" i="640"/>
  <c r="A97" i="640" l="1"/>
  <c r="S96" i="640"/>
  <c r="Q96" i="640"/>
  <c r="R96" i="640"/>
  <c r="B95" i="640"/>
  <c r="C95" i="640"/>
  <c r="D95" i="640"/>
  <c r="A98" i="640" l="1"/>
  <c r="Q97" i="640"/>
  <c r="R97" i="640"/>
  <c r="S97" i="640"/>
  <c r="C96" i="640"/>
  <c r="D96" i="640"/>
  <c r="B96" i="640"/>
  <c r="A99" i="640" l="1"/>
  <c r="Q98" i="640"/>
  <c r="S98" i="640"/>
  <c r="R98" i="640"/>
  <c r="D97" i="640"/>
  <c r="B97" i="640"/>
  <c r="C97" i="640"/>
  <c r="A100" i="640" l="1"/>
  <c r="R99" i="640"/>
  <c r="Q99" i="640"/>
  <c r="S99" i="640"/>
  <c r="B98" i="640"/>
  <c r="C98" i="640"/>
  <c r="D98" i="640"/>
  <c r="A101" i="640" l="1"/>
  <c r="S100" i="640"/>
  <c r="R100" i="640"/>
  <c r="Q100" i="640"/>
  <c r="B99" i="640"/>
  <c r="C99" i="640"/>
  <c r="D99" i="640"/>
  <c r="A102" i="640" l="1"/>
  <c r="Q101" i="640"/>
  <c r="R101" i="640"/>
  <c r="S101" i="640"/>
  <c r="C100" i="640"/>
  <c r="D100" i="640"/>
  <c r="B100" i="640"/>
  <c r="A103" i="640" l="1"/>
  <c r="Q102" i="640"/>
  <c r="R102" i="640"/>
  <c r="S102" i="640"/>
  <c r="D101" i="640"/>
  <c r="B101" i="640"/>
  <c r="C101" i="640"/>
  <c r="L11" i="547" l="1"/>
  <c r="V18" i="625"/>
  <c r="L12" i="547"/>
  <c r="AR9" i="610"/>
  <c r="N9" i="609"/>
  <c r="AX9" i="610"/>
  <c r="P18" i="625"/>
  <c r="S18" i="625"/>
  <c r="D9" i="609"/>
  <c r="A104" i="640"/>
  <c r="R103" i="640"/>
  <c r="Q103" i="640"/>
  <c r="S103" i="640"/>
  <c r="B102" i="640"/>
  <c r="C102" i="640"/>
  <c r="D102" i="640"/>
  <c r="A105" i="640" l="1"/>
  <c r="S104" i="640"/>
  <c r="Q104" i="640"/>
  <c r="R104" i="640"/>
  <c r="B103" i="640"/>
  <c r="C103" i="640"/>
  <c r="D103" i="640"/>
  <c r="A106" i="640" l="1"/>
  <c r="S105" i="640"/>
  <c r="Q105" i="640"/>
  <c r="R105" i="640"/>
  <c r="C104" i="640"/>
  <c r="D104" i="640"/>
  <c r="B104" i="640"/>
  <c r="A107" i="640" l="1"/>
  <c r="Q106" i="640"/>
  <c r="R106" i="640"/>
  <c r="S106" i="640"/>
  <c r="D105" i="640"/>
  <c r="B105" i="640"/>
  <c r="C105" i="640"/>
  <c r="A108" i="640" l="1"/>
  <c r="R107" i="640"/>
  <c r="S107" i="640"/>
  <c r="Q107" i="640"/>
  <c r="B106" i="640"/>
  <c r="C106" i="640"/>
  <c r="D106" i="640"/>
  <c r="A109" i="640" l="1"/>
  <c r="S108" i="640"/>
  <c r="Q108" i="640"/>
  <c r="R108" i="640"/>
  <c r="B107" i="640"/>
  <c r="C107" i="640"/>
  <c r="D107" i="640"/>
  <c r="A110" i="640" l="1"/>
  <c r="R109" i="640"/>
  <c r="S109" i="640"/>
  <c r="Q109" i="640"/>
  <c r="C108" i="640"/>
  <c r="D108" i="640"/>
  <c r="B108" i="640"/>
  <c r="A111" i="640" l="1"/>
  <c r="Q110" i="640"/>
  <c r="R110" i="640"/>
  <c r="S110" i="640"/>
  <c r="D109" i="640"/>
  <c r="B109" i="640"/>
  <c r="C109" i="640"/>
  <c r="A112" i="640" l="1"/>
  <c r="R111" i="640"/>
  <c r="Q111" i="640"/>
  <c r="S111" i="640"/>
  <c r="B110" i="640"/>
  <c r="C110" i="640"/>
  <c r="D110" i="640"/>
  <c r="A113" i="640" l="1"/>
  <c r="S112" i="640"/>
  <c r="Q112" i="640"/>
  <c r="R112" i="640"/>
  <c r="B111" i="640"/>
  <c r="C111" i="640"/>
  <c r="D111" i="640"/>
  <c r="A114" i="640" l="1"/>
  <c r="Q113" i="640"/>
  <c r="R113" i="640"/>
  <c r="S113" i="640"/>
  <c r="C112" i="640"/>
  <c r="D112" i="640"/>
  <c r="B112" i="640"/>
  <c r="A115" i="640" l="1"/>
  <c r="Q114" i="640"/>
  <c r="S114" i="640"/>
  <c r="R114" i="640"/>
  <c r="D113" i="640"/>
  <c r="B113" i="640"/>
  <c r="C113" i="640"/>
  <c r="A116" i="640" l="1"/>
  <c r="R115" i="640"/>
  <c r="Q115" i="640"/>
  <c r="S115" i="640"/>
  <c r="B114" i="640"/>
  <c r="C114" i="640"/>
  <c r="D114" i="640"/>
  <c r="A117" i="640" l="1"/>
  <c r="S116" i="640"/>
  <c r="R116" i="640"/>
  <c r="Q116" i="640"/>
  <c r="B115" i="640"/>
  <c r="C115" i="640"/>
  <c r="D115" i="640"/>
  <c r="A118" i="640" l="1"/>
  <c r="Q117" i="640"/>
  <c r="R117" i="640"/>
  <c r="S117" i="640"/>
  <c r="C116" i="640"/>
  <c r="D116" i="640"/>
  <c r="B116" i="640"/>
  <c r="A119" i="640" l="1"/>
  <c r="Q118" i="640"/>
  <c r="R118" i="640"/>
  <c r="S118" i="640"/>
  <c r="D117" i="640"/>
  <c r="B117" i="640"/>
  <c r="C117" i="640"/>
  <c r="A120" i="640" l="1"/>
  <c r="R119" i="640"/>
  <c r="Q119" i="640"/>
  <c r="S119" i="640"/>
  <c r="B118" i="640"/>
  <c r="C118" i="640"/>
  <c r="D118" i="640"/>
  <c r="A121" i="640" l="1"/>
  <c r="S120" i="640"/>
  <c r="Q120" i="640"/>
  <c r="R120" i="640"/>
  <c r="B119" i="640"/>
  <c r="C119" i="640"/>
  <c r="D119" i="640"/>
  <c r="A122" i="640" l="1"/>
  <c r="S121" i="640"/>
  <c r="Q121" i="640"/>
  <c r="R121" i="640"/>
  <c r="C120" i="640"/>
  <c r="D120" i="640"/>
  <c r="B120" i="640"/>
  <c r="A123" i="640" l="1"/>
  <c r="Q122" i="640"/>
  <c r="R122" i="640"/>
  <c r="S122" i="640"/>
  <c r="D121" i="640"/>
  <c r="B121" i="640"/>
  <c r="C121" i="640"/>
  <c r="A124" i="640" l="1"/>
  <c r="Q123" i="640"/>
  <c r="R123" i="640"/>
  <c r="S123" i="640"/>
  <c r="B122" i="640"/>
  <c r="C122" i="640"/>
  <c r="D122" i="640"/>
  <c r="A125" i="640" l="1"/>
  <c r="R124" i="640"/>
  <c r="S124" i="640"/>
  <c r="Q124" i="640"/>
  <c r="B123" i="640"/>
  <c r="C123" i="640"/>
  <c r="D123" i="640"/>
  <c r="A126" i="640" l="1"/>
  <c r="R125" i="640"/>
  <c r="S125" i="640"/>
  <c r="Q125" i="640"/>
  <c r="C124" i="640"/>
  <c r="D124" i="640"/>
  <c r="B124" i="640"/>
  <c r="Q126" i="640" l="1"/>
  <c r="S126" i="640"/>
  <c r="A127" i="640"/>
  <c r="R126" i="640"/>
  <c r="D125" i="640"/>
  <c r="B125" i="640"/>
  <c r="C125" i="640"/>
  <c r="B127" i="640" l="1"/>
  <c r="R127" i="640"/>
  <c r="A128" i="640"/>
  <c r="C127" i="640"/>
  <c r="D127" i="640"/>
  <c r="Q127" i="640"/>
  <c r="S127" i="640"/>
  <c r="B126" i="640"/>
  <c r="C126" i="640"/>
  <c r="D126" i="640"/>
  <c r="S128" i="640" l="1"/>
  <c r="Q128" i="640"/>
  <c r="A129" i="640"/>
  <c r="D128" i="640"/>
  <c r="B128" i="640"/>
  <c r="R128" i="640"/>
  <c r="C128" i="640"/>
  <c r="R129" i="640" l="1"/>
  <c r="A130" i="640"/>
  <c r="Q129" i="640"/>
  <c r="S129" i="640"/>
  <c r="B129" i="640"/>
  <c r="C129" i="640"/>
  <c r="D129" i="640"/>
  <c r="Q130" i="640" l="1"/>
  <c r="S130" i="640"/>
  <c r="A131" i="640"/>
  <c r="B130" i="640"/>
  <c r="C130" i="640"/>
  <c r="R130" i="640"/>
  <c r="D130" i="640"/>
  <c r="R131" i="640" l="1"/>
  <c r="A132" i="640"/>
  <c r="Q131" i="640"/>
  <c r="B131" i="640"/>
  <c r="S131" i="640"/>
  <c r="C131" i="640"/>
  <c r="D131" i="640"/>
  <c r="S132" i="640" l="1"/>
  <c r="Q132" i="640"/>
  <c r="A133" i="640"/>
  <c r="D132" i="640"/>
  <c r="R132" i="640"/>
  <c r="B132" i="640"/>
  <c r="C132" i="640"/>
  <c r="R133" i="640" l="1"/>
  <c r="A134" i="640"/>
  <c r="B133" i="640"/>
  <c r="Q133" i="640"/>
  <c r="C133" i="640"/>
  <c r="S133" i="640"/>
  <c r="D133" i="640"/>
  <c r="Q134" i="640" l="1"/>
  <c r="S134" i="640"/>
  <c r="A135" i="640"/>
  <c r="R134" i="640"/>
  <c r="B134" i="640"/>
  <c r="C134" i="640"/>
  <c r="D134" i="640"/>
  <c r="R135" i="640" l="1"/>
  <c r="A136" i="640"/>
  <c r="B135" i="640"/>
  <c r="C135" i="640"/>
  <c r="Q135" i="640"/>
  <c r="D135" i="640"/>
  <c r="S135" i="640"/>
  <c r="S136" i="640" l="1"/>
  <c r="Q136" i="640"/>
  <c r="A137" i="640"/>
  <c r="R136" i="640"/>
  <c r="D136" i="640"/>
  <c r="B136" i="640"/>
  <c r="C136" i="640"/>
  <c r="R137" i="640" l="1"/>
  <c r="A138" i="640"/>
  <c r="Q137" i="640"/>
  <c r="S137" i="640"/>
  <c r="B137" i="640"/>
  <c r="C137" i="640"/>
  <c r="D137" i="640"/>
  <c r="Q138" i="640" l="1"/>
  <c r="S138" i="640"/>
  <c r="A139" i="640"/>
  <c r="B138" i="640"/>
  <c r="C138" i="640"/>
  <c r="R138" i="640"/>
  <c r="D138" i="640"/>
  <c r="R139" i="640" l="1"/>
  <c r="S139" i="640"/>
  <c r="B139" i="640"/>
  <c r="C139" i="640"/>
  <c r="D139" i="640"/>
  <c r="Q139" i="640"/>
  <c r="A140" i="640"/>
  <c r="S140" i="640" l="1"/>
  <c r="Q140" i="640"/>
  <c r="B140" i="640"/>
  <c r="R140" i="640"/>
  <c r="C140" i="640"/>
  <c r="D140" i="640"/>
  <c r="A141" i="640"/>
  <c r="R141" i="640" l="1"/>
  <c r="S141" i="640"/>
  <c r="A142" i="640"/>
  <c r="B141" i="640"/>
  <c r="C141" i="640"/>
  <c r="Q141" i="640"/>
  <c r="D141" i="640"/>
  <c r="Q142" i="640" l="1"/>
  <c r="S142" i="640"/>
  <c r="R142" i="640"/>
  <c r="B142" i="640"/>
  <c r="C142" i="640"/>
  <c r="D142" i="640"/>
  <c r="A143" i="640"/>
  <c r="R143" i="640" l="1"/>
  <c r="A144" i="640"/>
  <c r="B143" i="640"/>
  <c r="C143" i="640"/>
  <c r="Q143" i="640"/>
  <c r="S143" i="640"/>
  <c r="D143" i="640"/>
  <c r="S144" i="640" l="1"/>
  <c r="Q144" i="640"/>
  <c r="B144" i="640"/>
  <c r="C144" i="640"/>
  <c r="D144" i="640"/>
  <c r="R144" i="640"/>
  <c r="A145" i="640"/>
  <c r="R145" i="640" l="1"/>
  <c r="A146" i="640"/>
  <c r="Q145" i="640"/>
  <c r="B145" i="640"/>
  <c r="S145" i="640"/>
  <c r="C145" i="640"/>
  <c r="D145" i="640"/>
  <c r="Q146" i="640" l="1"/>
  <c r="S146" i="640"/>
  <c r="B146" i="640"/>
  <c r="C146" i="640"/>
  <c r="R146" i="640"/>
  <c r="D146" i="640"/>
  <c r="A147" i="640"/>
  <c r="R147" i="640" l="1"/>
  <c r="S147" i="640"/>
  <c r="B147" i="640"/>
  <c r="C147" i="640"/>
  <c r="D147" i="640"/>
  <c r="Q147" i="640"/>
  <c r="A148" i="640"/>
  <c r="S148" i="640" l="1"/>
  <c r="Q148" i="640"/>
  <c r="A149" i="640"/>
  <c r="B148" i="640"/>
  <c r="R148" i="640"/>
  <c r="C148" i="640"/>
  <c r="D148" i="640"/>
  <c r="R149" i="640" l="1"/>
  <c r="S149" i="640"/>
  <c r="B149" i="640"/>
  <c r="C149" i="640"/>
  <c r="Q149" i="640"/>
  <c r="D149" i="640"/>
  <c r="A150" i="640"/>
  <c r="Q150" i="640" l="1"/>
  <c r="S150" i="640"/>
  <c r="A151" i="640"/>
  <c r="R150" i="640"/>
  <c r="B150" i="640"/>
  <c r="C150" i="640"/>
  <c r="D150" i="640"/>
  <c r="R151" i="640" l="1"/>
  <c r="B151" i="640"/>
  <c r="Q151" i="640"/>
  <c r="C151" i="640"/>
  <c r="S151" i="640"/>
  <c r="D151" i="640"/>
  <c r="A152" i="640"/>
  <c r="S152" i="640" l="1"/>
  <c r="Q152" i="640"/>
  <c r="B152" i="640"/>
  <c r="C152" i="640"/>
  <c r="D152" i="640"/>
  <c r="R152" i="640"/>
  <c r="A153" i="640"/>
  <c r="R153" i="640" l="1"/>
  <c r="A154" i="640"/>
  <c r="Q153" i="640"/>
  <c r="B153" i="640"/>
  <c r="S153" i="640"/>
  <c r="C153" i="640"/>
  <c r="D153" i="640"/>
  <c r="Q154" i="640" l="1"/>
  <c r="S154" i="640"/>
  <c r="B154" i="640"/>
  <c r="C154" i="640"/>
  <c r="R154" i="640"/>
  <c r="D154" i="640"/>
  <c r="A155" i="640"/>
  <c r="R155" i="640" l="1"/>
  <c r="S155" i="640"/>
  <c r="B155" i="640"/>
  <c r="C155" i="640"/>
  <c r="A156" i="640"/>
  <c r="D155" i="640"/>
  <c r="Q155" i="640"/>
  <c r="B156" i="640" l="1"/>
  <c r="S156" i="640"/>
  <c r="Q156" i="640"/>
  <c r="D156" i="640"/>
  <c r="R156" i="640"/>
  <c r="C156" i="640"/>
  <c r="C26" i="553" l="1"/>
  <c r="F3" i="317" l="1"/>
  <c r="H3" i="317" s="1"/>
  <c r="I2" i="317"/>
  <c r="H2" i="317"/>
  <c r="G2" i="317"/>
  <c r="L4" i="365"/>
  <c r="K4" i="365"/>
  <c r="J4" i="365"/>
  <c r="I5" i="365"/>
  <c r="J5" i="365" s="1"/>
  <c r="F4" i="317" l="1"/>
  <c r="H4" i="317" s="1"/>
  <c r="I6" i="365"/>
  <c r="L5" i="365"/>
  <c r="K5" i="365"/>
  <c r="G4" i="317"/>
  <c r="G3" i="317"/>
  <c r="I3" i="317"/>
  <c r="F5" i="317"/>
  <c r="I4" i="317" l="1"/>
  <c r="I7" i="365"/>
  <c r="K6" i="365"/>
  <c r="L6" i="365"/>
  <c r="J6" i="365"/>
  <c r="F6" i="317"/>
  <c r="I5" i="317"/>
  <c r="G5" i="317"/>
  <c r="H5" i="317"/>
  <c r="K5" i="183"/>
  <c r="K3" i="183"/>
  <c r="I8" i="365" l="1"/>
  <c r="K7" i="365"/>
  <c r="J7" i="365"/>
  <c r="L7" i="365"/>
  <c r="F7" i="317"/>
  <c r="G6" i="317"/>
  <c r="H6" i="317"/>
  <c r="I6" i="317"/>
  <c r="R9" i="44"/>
  <c r="R2" i="44" s="1"/>
  <c r="T9" i="44"/>
  <c r="T2" i="44" s="1"/>
  <c r="T4" i="44" s="1"/>
  <c r="S9" i="44"/>
  <c r="S2" i="44" s="1"/>
  <c r="S4" i="44" s="1"/>
  <c r="Q9" i="44"/>
  <c r="Q2" i="44" s="1"/>
  <c r="Q4" i="44" s="1"/>
  <c r="G54" i="31"/>
  <c r="I9" i="365" l="1"/>
  <c r="K8" i="365"/>
  <c r="J8" i="365"/>
  <c r="L8" i="365"/>
  <c r="F8" i="317"/>
  <c r="G7" i="317"/>
  <c r="H7" i="317"/>
  <c r="I7" i="317"/>
  <c r="Q12" i="44"/>
  <c r="R12" i="44" s="1"/>
  <c r="B17" i="30"/>
  <c r="A17" i="30"/>
  <c r="H5" i="571"/>
  <c r="H6" i="571"/>
  <c r="H7" i="571"/>
  <c r="Q14" i="44" l="1"/>
  <c r="I10" i="365"/>
  <c r="L9" i="365"/>
  <c r="K9" i="365"/>
  <c r="J9" i="365"/>
  <c r="Q15" i="44"/>
  <c r="F9" i="317"/>
  <c r="H8" i="317"/>
  <c r="I8" i="317"/>
  <c r="G8" i="317"/>
  <c r="G5" i="571"/>
  <c r="G6" i="571"/>
  <c r="G7" i="571"/>
  <c r="B3" i="571" s="1"/>
  <c r="I7" i="571"/>
  <c r="F7" i="571"/>
  <c r="F5" i="571"/>
  <c r="I6" i="571"/>
  <c r="F6" i="571"/>
  <c r="I5" i="571"/>
  <c r="I11" i="365" l="1"/>
  <c r="K10" i="365"/>
  <c r="L10" i="365"/>
  <c r="J10" i="365"/>
  <c r="F10" i="317"/>
  <c r="I9" i="317"/>
  <c r="G9" i="317"/>
  <c r="H9" i="317"/>
  <c r="B9" i="571"/>
  <c r="B8" i="571"/>
  <c r="C3" i="571"/>
  <c r="B5" i="571"/>
  <c r="B6" i="571"/>
  <c r="B10" i="571"/>
  <c r="B7" i="571"/>
  <c r="C9" i="571" l="1"/>
  <c r="C8" i="571"/>
  <c r="I12" i="365"/>
  <c r="K11" i="365"/>
  <c r="J11" i="365"/>
  <c r="L11" i="365"/>
  <c r="F11" i="317"/>
  <c r="G10" i="317"/>
  <c r="H10" i="317"/>
  <c r="I10" i="317"/>
  <c r="C10" i="571"/>
  <c r="C5" i="571"/>
  <c r="C6" i="571"/>
  <c r="C7" i="571"/>
  <c r="L6" i="570"/>
  <c r="L8" i="570" s="1"/>
  <c r="G6" i="570"/>
  <c r="G8" i="570" s="1"/>
  <c r="I13" i="365" l="1"/>
  <c r="K12" i="365"/>
  <c r="J12" i="365"/>
  <c r="L12" i="365"/>
  <c r="F12" i="317"/>
  <c r="G11" i="317"/>
  <c r="H11" i="317"/>
  <c r="I11" i="317"/>
  <c r="B6" i="570"/>
  <c r="B8" i="570" s="1"/>
  <c r="O8" i="564"/>
  <c r="C8" i="565"/>
  <c r="C9" i="565"/>
  <c r="C47" i="569"/>
  <c r="B47" i="569"/>
  <c r="B43" i="569"/>
  <c r="C30" i="569"/>
  <c r="B30" i="569"/>
  <c r="B25" i="569"/>
  <c r="B10" i="569"/>
  <c r="B7" i="569"/>
  <c r="C13" i="569"/>
  <c r="B13" i="569"/>
  <c r="J14" i="568"/>
  <c r="I14" i="568"/>
  <c r="J5" i="568"/>
  <c r="I5" i="568"/>
  <c r="J4" i="568"/>
  <c r="I4" i="568"/>
  <c r="B15" i="567"/>
  <c r="B24" i="567"/>
  <c r="B7" i="567"/>
  <c r="B6" i="567"/>
  <c r="B25" i="567"/>
  <c r="B16" i="567"/>
  <c r="B14" i="567"/>
  <c r="B37" i="566"/>
  <c r="B36" i="566"/>
  <c r="B28" i="566"/>
  <c r="B26" i="566"/>
  <c r="B27" i="566"/>
  <c r="B19" i="566"/>
  <c r="B20" i="566" s="1"/>
  <c r="B10" i="566"/>
  <c r="B7" i="566"/>
  <c r="B8" i="566" s="1"/>
  <c r="I14" i="365" l="1"/>
  <c r="L13" i="365"/>
  <c r="J13" i="365"/>
  <c r="K13" i="365"/>
  <c r="F13" i="317"/>
  <c r="H12" i="317"/>
  <c r="I12" i="317"/>
  <c r="G12" i="317"/>
  <c r="B38" i="566"/>
  <c r="I9" i="568"/>
  <c r="I10" i="568" s="1"/>
  <c r="I11" i="568" s="1"/>
  <c r="J15" i="568" s="1"/>
  <c r="B29" i="566"/>
  <c r="C48" i="569"/>
  <c r="C49" i="569" s="1"/>
  <c r="B12" i="565"/>
  <c r="B48" i="569"/>
  <c r="B49" i="569" s="1"/>
  <c r="B31" i="569"/>
  <c r="B32" i="569" s="1"/>
  <c r="B33" i="569" s="1"/>
  <c r="C31" i="569"/>
  <c r="C32" i="569" s="1"/>
  <c r="C33" i="569" s="1"/>
  <c r="B14" i="569"/>
  <c r="B15" i="569" s="1"/>
  <c r="C14" i="569"/>
  <c r="C15" i="569" s="1"/>
  <c r="B8" i="567"/>
  <c r="B17" i="567"/>
  <c r="B26" i="567"/>
  <c r="B11" i="566"/>
  <c r="B12" i="566" s="1"/>
  <c r="I15" i="365" l="1"/>
  <c r="K14" i="365"/>
  <c r="L14" i="365"/>
  <c r="J14" i="365"/>
  <c r="I13" i="317"/>
  <c r="G13" i="317"/>
  <c r="H13" i="317"/>
  <c r="F14" i="317"/>
  <c r="I15" i="568"/>
  <c r="A25" i="565"/>
  <c r="M24" i="564"/>
  <c r="A13" i="565"/>
  <c r="B13" i="565" s="1"/>
  <c r="B8" i="564"/>
  <c r="B11" i="564"/>
  <c r="C11" i="564" s="1"/>
  <c r="A12" i="564"/>
  <c r="A13" i="564" s="1"/>
  <c r="B13" i="564" s="1"/>
  <c r="O13" i="563"/>
  <c r="O14" i="563"/>
  <c r="O12" i="563"/>
  <c r="K6" i="563"/>
  <c r="K7" i="563" s="1"/>
  <c r="L5" i="563"/>
  <c r="G8" i="563"/>
  <c r="G9" i="563" s="1"/>
  <c r="G10" i="563" s="1"/>
  <c r="C9" i="563"/>
  <c r="B9" i="563"/>
  <c r="B28" i="562"/>
  <c r="B27" i="562"/>
  <c r="G14" i="562"/>
  <c r="F15" i="562"/>
  <c r="G15" i="562" s="1"/>
  <c r="B17" i="562"/>
  <c r="B16" i="562"/>
  <c r="G4" i="562"/>
  <c r="F5" i="562"/>
  <c r="G5" i="562" s="1"/>
  <c r="B6" i="562"/>
  <c r="B7" i="562"/>
  <c r="I16" i="365" l="1"/>
  <c r="L15" i="365"/>
  <c r="J15" i="365"/>
  <c r="K15" i="365"/>
  <c r="G14" i="317"/>
  <c r="H14" i="317"/>
  <c r="I14" i="317"/>
  <c r="A14" i="565"/>
  <c r="B14" i="565" s="1"/>
  <c r="C13" i="565"/>
  <c r="C12" i="565"/>
  <c r="N11" i="564"/>
  <c r="O11" i="564" s="1"/>
  <c r="B12" i="564"/>
  <c r="C12" i="564" s="1"/>
  <c r="M12" i="564"/>
  <c r="N12" i="564" s="1"/>
  <c r="A14" i="564"/>
  <c r="B14" i="564" s="1"/>
  <c r="D9" i="563"/>
  <c r="L6" i="563"/>
  <c r="O11" i="563"/>
  <c r="O15" i="563" s="1"/>
  <c r="K8" i="563"/>
  <c r="L7" i="563"/>
  <c r="F16" i="562"/>
  <c r="F17" i="562" s="1"/>
  <c r="G17" i="562" s="1"/>
  <c r="F6" i="562"/>
  <c r="B5" i="561"/>
  <c r="B7" i="561" s="1"/>
  <c r="B8" i="560"/>
  <c r="H4" i="559"/>
  <c r="H7" i="559" s="1"/>
  <c r="H3" i="559"/>
  <c r="H6" i="559" s="1"/>
  <c r="R8" i="320"/>
  <c r="R7" i="320"/>
  <c r="R5" i="320"/>
  <c r="R3" i="320"/>
  <c r="I8" i="320"/>
  <c r="E3" i="557"/>
  <c r="B3" i="557"/>
  <c r="B12" i="560" l="1"/>
  <c r="B10" i="560"/>
  <c r="G16" i="562"/>
  <c r="G18" i="562" s="1"/>
  <c r="I17" i="365"/>
  <c r="K16" i="365"/>
  <c r="J16" i="365"/>
  <c r="L16" i="365"/>
  <c r="A15" i="565"/>
  <c r="B15" i="565" s="1"/>
  <c r="C14" i="565"/>
  <c r="O12" i="564"/>
  <c r="M13" i="564"/>
  <c r="N13" i="564" s="1"/>
  <c r="A15" i="564"/>
  <c r="B15" i="564" s="1"/>
  <c r="C13" i="564"/>
  <c r="K9" i="563"/>
  <c r="L8" i="563"/>
  <c r="G6" i="562"/>
  <c r="F7" i="562"/>
  <c r="R13" i="320"/>
  <c r="R15" i="320" s="1"/>
  <c r="H10" i="559"/>
  <c r="H9" i="559"/>
  <c r="R9" i="320"/>
  <c r="R10" i="320" s="1"/>
  <c r="J6" i="12"/>
  <c r="E40" i="30"/>
  <c r="I18" i="365" l="1"/>
  <c r="L17" i="365"/>
  <c r="K17" i="365"/>
  <c r="J17" i="365"/>
  <c r="R14" i="320"/>
  <c r="A16" i="565"/>
  <c r="B16" i="565" s="1"/>
  <c r="C15" i="565"/>
  <c r="M14" i="564"/>
  <c r="N14" i="564" s="1"/>
  <c r="O13" i="564"/>
  <c r="C14" i="564"/>
  <c r="C15" i="564" s="1"/>
  <c r="A16" i="564"/>
  <c r="B16" i="564" s="1"/>
  <c r="K10" i="563"/>
  <c r="L9" i="563"/>
  <c r="F8" i="562"/>
  <c r="G7" i="562"/>
  <c r="I19" i="365" l="1"/>
  <c r="K18" i="365"/>
  <c r="L18" i="365"/>
  <c r="J18" i="365"/>
  <c r="A17" i="565"/>
  <c r="B17" i="565" s="1"/>
  <c r="C16" i="565"/>
  <c r="M15" i="564"/>
  <c r="N15" i="564" s="1"/>
  <c r="O14" i="564"/>
  <c r="A17" i="564"/>
  <c r="B17" i="564" s="1"/>
  <c r="C16" i="564"/>
  <c r="K11" i="563"/>
  <c r="L10" i="563"/>
  <c r="F9" i="562"/>
  <c r="G9" i="562" s="1"/>
  <c r="G8" i="562"/>
  <c r="I20" i="365" l="1"/>
  <c r="K19" i="365"/>
  <c r="L19" i="365"/>
  <c r="J19" i="365"/>
  <c r="G10" i="562"/>
  <c r="A18" i="565"/>
  <c r="B18" i="565" s="1"/>
  <c r="C17" i="565"/>
  <c r="O15" i="564"/>
  <c r="M16" i="564"/>
  <c r="N16" i="564" s="1"/>
  <c r="A18" i="564"/>
  <c r="B18" i="564" s="1"/>
  <c r="C17" i="564"/>
  <c r="K12" i="563"/>
  <c r="L11" i="563"/>
  <c r="O40" i="31" a="1"/>
  <c r="O40" i="31" s="1"/>
  <c r="O39" i="31"/>
  <c r="N39" i="31"/>
  <c r="M39" i="31"/>
  <c r="M40" i="31" s="1"/>
  <c r="R40" i="31" s="1"/>
  <c r="O38" i="31"/>
  <c r="N38" i="31"/>
  <c r="M38" i="31"/>
  <c r="L39" i="31"/>
  <c r="L38" i="31"/>
  <c r="I21" i="365" l="1"/>
  <c r="K20" i="365"/>
  <c r="J20" i="365"/>
  <c r="L20" i="365"/>
  <c r="A19" i="565"/>
  <c r="B19" i="565" s="1"/>
  <c r="C18" i="565"/>
  <c r="O16" i="564"/>
  <c r="M17" i="564"/>
  <c r="N17" i="564" s="1"/>
  <c r="C18" i="564"/>
  <c r="A19" i="564"/>
  <c r="B19" i="564" s="1"/>
  <c r="K13" i="563"/>
  <c r="L12" i="563"/>
  <c r="P40" i="31"/>
  <c r="Q40" i="31" s="1"/>
  <c r="N44" i="31"/>
  <c r="N45" i="31"/>
  <c r="N40" i="31"/>
  <c r="S40" i="31"/>
  <c r="A24" i="553"/>
  <c r="I22" i="365" l="1"/>
  <c r="L21" i="365"/>
  <c r="J21" i="365"/>
  <c r="K21" i="365"/>
  <c r="A20" i="565"/>
  <c r="B20" i="565" s="1"/>
  <c r="C19" i="565"/>
  <c r="O45" i="31"/>
  <c r="M18" i="564"/>
  <c r="N18" i="564" s="1"/>
  <c r="O17" i="564"/>
  <c r="C19" i="564"/>
  <c r="A20" i="564"/>
  <c r="B20" i="564" s="1"/>
  <c r="K14" i="563"/>
  <c r="L13" i="563"/>
  <c r="P45" i="31"/>
  <c r="M44" i="31"/>
  <c r="Q44" i="31" s="1"/>
  <c r="M45" i="31"/>
  <c r="Q45" i="31" s="1"/>
  <c r="T40" i="31"/>
  <c r="C24" i="553"/>
  <c r="I23" i="365" l="1"/>
  <c r="K22" i="365"/>
  <c r="L22" i="365"/>
  <c r="J22" i="365"/>
  <c r="A21" i="565"/>
  <c r="B21" i="565" s="1"/>
  <c r="C20" i="565"/>
  <c r="M19" i="564"/>
  <c r="N19" i="564" s="1"/>
  <c r="O18" i="564"/>
  <c r="A21" i="564"/>
  <c r="B21" i="564" s="1"/>
  <c r="C20" i="564"/>
  <c r="K15" i="563"/>
  <c r="L14" i="563"/>
  <c r="E24" i="553"/>
  <c r="L23" i="365" l="1"/>
  <c r="I24" i="365"/>
  <c r="K23" i="365"/>
  <c r="J23" i="365"/>
  <c r="A22" i="565"/>
  <c r="B22" i="565" s="1"/>
  <c r="C21" i="565"/>
  <c r="O19" i="564"/>
  <c r="M20" i="564"/>
  <c r="N20" i="564" s="1"/>
  <c r="A22" i="564"/>
  <c r="B22" i="564" s="1"/>
  <c r="C21" i="564"/>
  <c r="K16" i="563"/>
  <c r="L15" i="563"/>
  <c r="L24" i="365" l="1"/>
  <c r="K24" i="365"/>
  <c r="I25" i="365"/>
  <c r="J24" i="365"/>
  <c r="A23" i="565"/>
  <c r="C22" i="565"/>
  <c r="O20" i="564"/>
  <c r="M21" i="564"/>
  <c r="C22" i="564"/>
  <c r="A23" i="564"/>
  <c r="B23" i="564" s="1"/>
  <c r="K17" i="563"/>
  <c r="L16" i="563"/>
  <c r="I26" i="365" l="1"/>
  <c r="K25" i="365"/>
  <c r="L25" i="365"/>
  <c r="J25" i="365"/>
  <c r="B23" i="565"/>
  <c r="C23" i="565" s="1"/>
  <c r="N21" i="564"/>
  <c r="O21" i="564" s="1"/>
  <c r="M22" i="564"/>
  <c r="N22" i="564" s="1"/>
  <c r="O22" i="564" s="1"/>
  <c r="C23" i="564"/>
  <c r="A24" i="564"/>
  <c r="B24" i="564" s="1"/>
  <c r="K18" i="563"/>
  <c r="L17" i="563"/>
  <c r="K26" i="365" l="1"/>
  <c r="J26" i="365"/>
  <c r="L26" i="365"/>
  <c r="I27" i="365"/>
  <c r="A25" i="564"/>
  <c r="B25" i="564" s="1"/>
  <c r="C24" i="564"/>
  <c r="K19" i="563"/>
  <c r="L18" i="563"/>
  <c r="J27" i="365" l="1"/>
  <c r="K27" i="365"/>
  <c r="L27" i="365"/>
  <c r="I28" i="365"/>
  <c r="A26" i="564"/>
  <c r="B26" i="564" s="1"/>
  <c r="C25" i="564"/>
  <c r="K20" i="563"/>
  <c r="L19" i="563"/>
  <c r="B11" i="549"/>
  <c r="B10" i="549"/>
  <c r="G11" i="549"/>
  <c r="G7" i="549"/>
  <c r="B13" i="549" l="1"/>
  <c r="B14" i="549" s="1"/>
  <c r="G10" i="549"/>
  <c r="G13" i="549" s="1"/>
  <c r="I29" i="365"/>
  <c r="K28" i="365"/>
  <c r="L28" i="365"/>
  <c r="J28" i="365"/>
  <c r="C26" i="564"/>
  <c r="A27" i="564"/>
  <c r="B27" i="564" s="1"/>
  <c r="L20" i="563"/>
  <c r="K21" i="563"/>
  <c r="J10" i="548"/>
  <c r="O10" i="548" s="1"/>
  <c r="J8" i="548"/>
  <c r="E10" i="548"/>
  <c r="E8" i="548"/>
  <c r="B10" i="548"/>
  <c r="E6" i="548" s="1"/>
  <c r="B8" i="548"/>
  <c r="E5" i="548" s="1"/>
  <c r="B6" i="548"/>
  <c r="B19" i="548" s="1"/>
  <c r="G6" i="547"/>
  <c r="E9" i="548" l="1"/>
  <c r="E11" i="548" s="1"/>
  <c r="E20" i="548"/>
  <c r="E21" i="548" s="1"/>
  <c r="J9" i="548"/>
  <c r="O8" i="548"/>
  <c r="O9" i="548" s="1"/>
  <c r="O11" i="548" s="1"/>
  <c r="E22" i="548"/>
  <c r="O12" i="548"/>
  <c r="E7" i="548"/>
  <c r="G14" i="549"/>
  <c r="J29" i="365"/>
  <c r="I30" i="365"/>
  <c r="L29" i="365"/>
  <c r="K29" i="365"/>
  <c r="C27" i="564"/>
  <c r="A28" i="564"/>
  <c r="B28" i="564" s="1"/>
  <c r="K22" i="563"/>
  <c r="L21" i="563"/>
  <c r="J5" i="548"/>
  <c r="O6" i="548" s="1"/>
  <c r="B15" i="548"/>
  <c r="J12" i="548"/>
  <c r="B20" i="548"/>
  <c r="J6" i="548"/>
  <c r="O5" i="548" s="1"/>
  <c r="J11" i="548"/>
  <c r="B12" i="548"/>
  <c r="B13" i="548" s="1"/>
  <c r="B14" i="548" s="1"/>
  <c r="E23" i="548" l="1"/>
  <c r="E24" i="548" s="1"/>
  <c r="E25" i="548" s="1"/>
  <c r="O7" i="548"/>
  <c r="O13" i="548" s="1"/>
  <c r="O14" i="548" s="1"/>
  <c r="G15" i="549"/>
  <c r="G16" i="549" s="1"/>
  <c r="E12" i="548"/>
  <c r="E13" i="548" s="1"/>
  <c r="B7" i="547"/>
  <c r="B15" i="549"/>
  <c r="L30" i="365"/>
  <c r="K30" i="365"/>
  <c r="J30" i="365"/>
  <c r="I31" i="365"/>
  <c r="A29" i="564"/>
  <c r="B29" i="564" s="1"/>
  <c r="C28" i="564"/>
  <c r="J7" i="548"/>
  <c r="L22" i="563"/>
  <c r="K23" i="563"/>
  <c r="A9" i="546"/>
  <c r="J13" i="548" l="1"/>
  <c r="J14" i="548" s="1"/>
  <c r="B13" i="547"/>
  <c r="A10" i="546"/>
  <c r="K31" i="365"/>
  <c r="I32" i="365"/>
  <c r="L31" i="365"/>
  <c r="J31" i="365"/>
  <c r="A30" i="564"/>
  <c r="B30" i="564" s="1"/>
  <c r="C29" i="564"/>
  <c r="L23" i="563"/>
  <c r="K24" i="563"/>
  <c r="A11" i="546" l="1"/>
  <c r="J32" i="365"/>
  <c r="I33" i="365"/>
  <c r="K32" i="365"/>
  <c r="L32" i="365"/>
  <c r="C30" i="564"/>
  <c r="A31" i="564"/>
  <c r="L24" i="563"/>
  <c r="K25" i="563"/>
  <c r="A12" i="546" l="1"/>
  <c r="K33" i="365"/>
  <c r="J33" i="365"/>
  <c r="L33" i="365"/>
  <c r="I34" i="365"/>
  <c r="B31" i="564"/>
  <c r="C31" i="564" s="1"/>
  <c r="A32" i="564"/>
  <c r="L25" i="563"/>
  <c r="K26" i="563"/>
  <c r="A13" i="546" l="1"/>
  <c r="L34" i="365"/>
  <c r="I35" i="365"/>
  <c r="K34" i="365"/>
  <c r="J34" i="365"/>
  <c r="A33" i="564"/>
  <c r="B32" i="564"/>
  <c r="C32" i="564" s="1"/>
  <c r="L26" i="563"/>
  <c r="K27" i="563"/>
  <c r="B5" i="542"/>
  <c r="B3" i="542"/>
  <c r="B5" i="541"/>
  <c r="B3" i="541"/>
  <c r="B5" i="246"/>
  <c r="B3" i="246"/>
  <c r="B5" i="248"/>
  <c r="B3" i="248"/>
  <c r="G8" i="540"/>
  <c r="G7" i="540"/>
  <c r="G6" i="540"/>
  <c r="G12" i="540" s="1"/>
  <c r="A36" i="538"/>
  <c r="A37" i="538" s="1"/>
  <c r="A38" i="538" s="1"/>
  <c r="A39" i="538" s="1"/>
  <c r="A40" i="538" s="1"/>
  <c r="A41" i="538" s="1"/>
  <c r="A42" i="538" s="1"/>
  <c r="A43" i="538" s="1"/>
  <c r="A44" i="538" s="1"/>
  <c r="A45" i="538" s="1"/>
  <c r="A46" i="538" s="1"/>
  <c r="A47" i="538" s="1"/>
  <c r="A48" i="538" s="1"/>
  <c r="A49" i="538" s="1"/>
  <c r="A50" i="538" s="1"/>
  <c r="A51" i="538" s="1"/>
  <c r="A52" i="538" s="1"/>
  <c r="A53" i="538" s="1"/>
  <c r="A54" i="538" s="1"/>
  <c r="A55" i="538" s="1"/>
  <c r="A56" i="538" s="1"/>
  <c r="A57" i="538" s="1"/>
  <c r="A58" i="538" s="1"/>
  <c r="A59" i="538" s="1"/>
  <c r="A60" i="538" s="1"/>
  <c r="A61" i="538" s="1"/>
  <c r="A62" i="538" s="1"/>
  <c r="A63" i="538" s="1"/>
  <c r="A64" i="538" s="1"/>
  <c r="A65" i="538" s="1"/>
  <c r="A66" i="538" s="1"/>
  <c r="A67" i="538" s="1"/>
  <c r="A68" i="538" s="1"/>
  <c r="A69" i="538" s="1"/>
  <c r="A70" i="538" s="1"/>
  <c r="A71" i="538" s="1"/>
  <c r="A72" i="538" s="1"/>
  <c r="A73" i="538" s="1"/>
  <c r="A74" i="538" s="1"/>
  <c r="A75" i="538" s="1"/>
  <c r="A76" i="538" s="1"/>
  <c r="A77" i="538" s="1"/>
  <c r="A78" i="538" s="1"/>
  <c r="A79" i="538" s="1"/>
  <c r="A80" i="538" s="1"/>
  <c r="A81" i="538" s="1"/>
  <c r="A82" i="538" s="1"/>
  <c r="A83" i="538" s="1"/>
  <c r="A84" i="538" s="1"/>
  <c r="A85" i="538" s="1"/>
  <c r="A86" i="538" s="1"/>
  <c r="A87" i="538" s="1"/>
  <c r="A88" i="538" s="1"/>
  <c r="A89" i="538" s="1"/>
  <c r="A90" i="538" s="1"/>
  <c r="A91" i="538" s="1"/>
  <c r="A92" i="538" s="1"/>
  <c r="A93" i="538" s="1"/>
  <c r="A94" i="538" s="1"/>
  <c r="A95" i="538" s="1"/>
  <c r="A96" i="538" s="1"/>
  <c r="A97" i="538" s="1"/>
  <c r="A98" i="538" s="1"/>
  <c r="A99" i="538" s="1"/>
  <c r="A100" i="538" s="1"/>
  <c r="A101" i="538" s="1"/>
  <c r="A102" i="538" s="1"/>
  <c r="A103" i="538" s="1"/>
  <c r="A104" i="538" s="1"/>
  <c r="A105" i="538" s="1"/>
  <c r="A106" i="538" s="1"/>
  <c r="A107" i="538" s="1"/>
  <c r="A108" i="538" s="1"/>
  <c r="A109" i="538" s="1"/>
  <c r="A110" i="538" s="1"/>
  <c r="A111" i="538" s="1"/>
  <c r="A112" i="538" s="1"/>
  <c r="A113" i="538" s="1"/>
  <c r="A114" i="538" s="1"/>
  <c r="A115" i="538" s="1"/>
  <c r="A116" i="538" s="1"/>
  <c r="A117" i="538" s="1"/>
  <c r="A118" i="538" s="1"/>
  <c r="A119" i="538" s="1"/>
  <c r="A120" i="538" s="1"/>
  <c r="A121" i="538" s="1"/>
  <c r="A122" i="538" s="1"/>
  <c r="A123" i="538" s="1"/>
  <c r="A124" i="538" s="1"/>
  <c r="A125" i="538" s="1"/>
  <c r="A126" i="538" s="1"/>
  <c r="A127" i="538" s="1"/>
  <c r="A128" i="538" s="1"/>
  <c r="A129" i="538" s="1"/>
  <c r="A130" i="538" s="1"/>
  <c r="A131" i="538" s="1"/>
  <c r="A132" i="538" s="1"/>
  <c r="A133" i="538" s="1"/>
  <c r="A134" i="538" s="1"/>
  <c r="A135" i="538" s="1"/>
  <c r="L5" i="540" l="1"/>
  <c r="L7" i="540" s="1"/>
  <c r="A14" i="546"/>
  <c r="L35" i="365"/>
  <c r="J35" i="365"/>
  <c r="I36" i="365"/>
  <c r="K35" i="365"/>
  <c r="B33" i="564"/>
  <c r="C33" i="564" s="1"/>
  <c r="A34" i="564"/>
  <c r="K28" i="563"/>
  <c r="L27" i="563"/>
  <c r="G11" i="540"/>
  <c r="L9" i="540"/>
  <c r="G9" i="540"/>
  <c r="A136" i="538"/>
  <c r="L8" i="540" l="1"/>
  <c r="A15" i="546"/>
  <c r="J36" i="365"/>
  <c r="L36" i="365"/>
  <c r="K36" i="365"/>
  <c r="I37" i="365"/>
  <c r="B34" i="564"/>
  <c r="C34" i="564" s="1"/>
  <c r="A35" i="564"/>
  <c r="B35" i="564" s="1"/>
  <c r="L6" i="540"/>
  <c r="L10" i="540" s="1"/>
  <c r="K29" i="563"/>
  <c r="L28" i="563"/>
  <c r="G13" i="540"/>
  <c r="G14" i="540" s="1"/>
  <c r="G16" i="540" s="1"/>
  <c r="L11" i="540"/>
  <c r="A137" i="538"/>
  <c r="A16" i="546" l="1"/>
  <c r="L37" i="365"/>
  <c r="I38" i="365"/>
  <c r="K37" i="365"/>
  <c r="J37" i="365"/>
  <c r="C35" i="564"/>
  <c r="K30" i="563"/>
  <c r="L29" i="563"/>
  <c r="A138" i="538"/>
  <c r="A17" i="546" l="1"/>
  <c r="L38" i="365"/>
  <c r="I39" i="365"/>
  <c r="K38" i="365"/>
  <c r="J38" i="365"/>
  <c r="K31" i="563"/>
  <c r="L30" i="563"/>
  <c r="A139" i="538"/>
  <c r="A18" i="546" l="1"/>
  <c r="L39" i="365"/>
  <c r="K39" i="365"/>
  <c r="J39" i="365"/>
  <c r="I40" i="365"/>
  <c r="K32" i="563"/>
  <c r="L31" i="563"/>
  <c r="A140" i="538"/>
  <c r="A19" i="546" l="1"/>
  <c r="L40" i="365"/>
  <c r="J40" i="365"/>
  <c r="K40" i="365"/>
  <c r="I41" i="365"/>
  <c r="K33" i="563"/>
  <c r="L32" i="563"/>
  <c r="A141" i="538"/>
  <c r="A20" i="546" l="1"/>
  <c r="J41" i="365"/>
  <c r="L41" i="365"/>
  <c r="K41" i="365"/>
  <c r="I42" i="365"/>
  <c r="K34" i="563"/>
  <c r="L33" i="563"/>
  <c r="A142" i="538"/>
  <c r="A21" i="546" l="1"/>
  <c r="J42" i="365"/>
  <c r="K42" i="365"/>
  <c r="L42" i="365"/>
  <c r="I43" i="365"/>
  <c r="K35" i="563"/>
  <c r="L34" i="563"/>
  <c r="A143" i="538"/>
  <c r="A22" i="546" l="1"/>
  <c r="K43" i="365"/>
  <c r="I44" i="365"/>
  <c r="L43" i="365"/>
  <c r="J43" i="365"/>
  <c r="K36" i="563"/>
  <c r="L35" i="563"/>
  <c r="A144" i="538"/>
  <c r="A23" i="546" l="1"/>
  <c r="K44" i="365"/>
  <c r="I45" i="365"/>
  <c r="L44" i="365"/>
  <c r="J44" i="365"/>
  <c r="K37" i="563"/>
  <c r="L36" i="563"/>
  <c r="A145" i="538"/>
  <c r="A24" i="546" l="1"/>
  <c r="I46" i="365"/>
  <c r="J45" i="365"/>
  <c r="L45" i="365"/>
  <c r="K45" i="365"/>
  <c r="K38" i="563"/>
  <c r="L37" i="563"/>
  <c r="A146" i="538"/>
  <c r="A25" i="546" l="1"/>
  <c r="K46" i="365"/>
  <c r="I47" i="365"/>
  <c r="J46" i="365"/>
  <c r="L46" i="365"/>
  <c r="K39" i="563"/>
  <c r="L38" i="563"/>
  <c r="A147" i="538"/>
  <c r="A26" i="546" l="1"/>
  <c r="L47" i="365"/>
  <c r="J47" i="365"/>
  <c r="I48" i="365"/>
  <c r="K47" i="365"/>
  <c r="K40" i="563"/>
  <c r="L39" i="563"/>
  <c r="A148" i="538"/>
  <c r="A27" i="546" l="1"/>
  <c r="K48" i="365"/>
  <c r="L48" i="365"/>
  <c r="J48" i="365"/>
  <c r="I49" i="365"/>
  <c r="K41" i="563"/>
  <c r="L40" i="563"/>
  <c r="A149" i="538"/>
  <c r="A28" i="546" l="1"/>
  <c r="J49" i="365"/>
  <c r="L49" i="365"/>
  <c r="K49" i="365"/>
  <c r="I50" i="365"/>
  <c r="K42" i="563"/>
  <c r="L41" i="563"/>
  <c r="A150" i="538"/>
  <c r="A151" i="538" s="1"/>
  <c r="A152" i="538" s="1"/>
  <c r="A153" i="538" s="1"/>
  <c r="A154" i="538" s="1"/>
  <c r="A155" i="538" s="1"/>
  <c r="A156" i="538" s="1"/>
  <c r="A157" i="538" s="1"/>
  <c r="A158" i="538" s="1"/>
  <c r="A159" i="538" s="1"/>
  <c r="A160" i="538" s="1"/>
  <c r="A161" i="538" s="1"/>
  <c r="A162" i="538" s="1"/>
  <c r="A163" i="538" s="1"/>
  <c r="A164" i="538" s="1"/>
  <c r="A165" i="538" s="1"/>
  <c r="A166" i="538" s="1"/>
  <c r="A167" i="538" s="1"/>
  <c r="A29" i="546" l="1"/>
  <c r="J50" i="365"/>
  <c r="K50" i="365"/>
  <c r="I51" i="365"/>
  <c r="L50" i="365"/>
  <c r="L42" i="563"/>
  <c r="K43" i="563"/>
  <c r="A168" i="538"/>
  <c r="A30" i="546" l="1"/>
  <c r="L51" i="365"/>
  <c r="J51" i="365"/>
  <c r="K51" i="365"/>
  <c r="I52" i="365"/>
  <c r="K44" i="563"/>
  <c r="L43" i="563"/>
  <c r="A169" i="538"/>
  <c r="A31" i="546" l="1"/>
  <c r="K52" i="365"/>
  <c r="L52" i="365"/>
  <c r="J52" i="365"/>
  <c r="I53" i="365"/>
  <c r="L44" i="563"/>
  <c r="K45" i="563"/>
  <c r="A170" i="538"/>
  <c r="A32" i="546" l="1"/>
  <c r="K53" i="365"/>
  <c r="J53" i="365"/>
  <c r="L53" i="365"/>
  <c r="K46" i="563"/>
  <c r="L45" i="563"/>
  <c r="A171" i="538"/>
  <c r="A33" i="546" l="1"/>
  <c r="L46" i="563"/>
  <c r="K47" i="563"/>
  <c r="A172" i="538"/>
  <c r="A34" i="546" l="1"/>
  <c r="K48" i="563"/>
  <c r="L47" i="563"/>
  <c r="A173" i="538"/>
  <c r="A35" i="546" l="1"/>
  <c r="L48" i="563"/>
  <c r="K49" i="563"/>
  <c r="A174" i="538"/>
  <c r="A36" i="546" l="1"/>
  <c r="K50" i="563"/>
  <c r="L49" i="563"/>
  <c r="A175" i="538"/>
  <c r="A37" i="546" l="1"/>
  <c r="L50" i="563"/>
  <c r="K51" i="563"/>
  <c r="A176" i="538"/>
  <c r="A38" i="546" l="1"/>
  <c r="K52" i="563"/>
  <c r="L51" i="563"/>
  <c r="A177" i="538"/>
  <c r="A39" i="546" l="1"/>
  <c r="K53" i="563"/>
  <c r="L52" i="563"/>
  <c r="A178" i="538"/>
  <c r="A40" i="546" l="1"/>
  <c r="L53" i="563"/>
  <c r="K54" i="563"/>
  <c r="A179" i="538"/>
  <c r="A41" i="546" l="1"/>
  <c r="L54" i="563"/>
  <c r="K55" i="563"/>
  <c r="L55" i="563" s="1"/>
  <c r="A180" i="538"/>
  <c r="A42" i="546" l="1"/>
  <c r="A181" i="538"/>
  <c r="A43" i="546" l="1"/>
  <c r="A182" i="538"/>
  <c r="A44" i="546" l="1"/>
  <c r="A183" i="538"/>
  <c r="A45" i="546" l="1"/>
  <c r="A184" i="538"/>
  <c r="A46" i="546" l="1"/>
  <c r="A185" i="538"/>
  <c r="A47" i="546" l="1"/>
  <c r="A186" i="538"/>
  <c r="A48" i="546" l="1"/>
  <c r="A187" i="538"/>
  <c r="A188" i="538" s="1"/>
  <c r="A189" i="538" s="1"/>
  <c r="A190" i="538" s="1"/>
  <c r="A191" i="538" s="1"/>
  <c r="A192" i="538" s="1"/>
  <c r="A193" i="538" s="1"/>
  <c r="A194" i="538" s="1"/>
  <c r="A195" i="538" s="1"/>
  <c r="A49" i="546" l="1"/>
  <c r="G6" i="538"/>
  <c r="B6" i="246" s="1"/>
  <c r="G7" i="538"/>
  <c r="G8" i="538"/>
  <c r="A50" i="546" l="1"/>
  <c r="B4" i="541"/>
  <c r="B4" i="542"/>
  <c r="B8" i="542"/>
  <c r="B6" i="541"/>
  <c r="B8" i="541" s="1"/>
  <c r="B4" i="246"/>
  <c r="B4" i="248"/>
  <c r="G22" i="538"/>
  <c r="B11" i="248"/>
  <c r="G12" i="538"/>
  <c r="B8" i="246"/>
  <c r="B6" i="248"/>
  <c r="B8" i="248" s="1"/>
  <c r="G9" i="538"/>
  <c r="L6" i="538"/>
  <c r="G11" i="538"/>
  <c r="G13" i="538" s="1"/>
  <c r="K7" i="538"/>
  <c r="K8" i="538" s="1"/>
  <c r="L8" i="538" s="1"/>
  <c r="A51" i="546" l="1"/>
  <c r="L7" i="538"/>
  <c r="B7" i="542"/>
  <c r="B9" i="542" s="1"/>
  <c r="B11" i="542"/>
  <c r="B7" i="541"/>
  <c r="B9" i="541" s="1"/>
  <c r="B11" i="541"/>
  <c r="B39" i="538"/>
  <c r="B43" i="538"/>
  <c r="B47" i="538"/>
  <c r="B51" i="538"/>
  <c r="B55" i="538"/>
  <c r="B59" i="538"/>
  <c r="B63" i="538"/>
  <c r="B67" i="538"/>
  <c r="B71" i="538"/>
  <c r="B75" i="538"/>
  <c r="B79" i="538"/>
  <c r="B83" i="538"/>
  <c r="B87" i="538"/>
  <c r="B91" i="538"/>
  <c r="B95" i="538"/>
  <c r="B99" i="538"/>
  <c r="B103" i="538"/>
  <c r="B107" i="538"/>
  <c r="B111" i="538"/>
  <c r="B115" i="538"/>
  <c r="B119" i="538"/>
  <c r="B123" i="538"/>
  <c r="B127" i="538"/>
  <c r="B131" i="538"/>
  <c r="B135" i="538"/>
  <c r="B139" i="538"/>
  <c r="B143" i="538"/>
  <c r="B147" i="538"/>
  <c r="B151" i="538"/>
  <c r="B155" i="538"/>
  <c r="B159" i="538"/>
  <c r="B163" i="538"/>
  <c r="B167" i="538"/>
  <c r="B171" i="538"/>
  <c r="B175" i="538"/>
  <c r="B179" i="538"/>
  <c r="B183" i="538"/>
  <c r="B187" i="538"/>
  <c r="B191" i="538"/>
  <c r="B195" i="538"/>
  <c r="B36" i="538"/>
  <c r="B41" i="538"/>
  <c r="B46" i="538"/>
  <c r="B52" i="538"/>
  <c r="B57" i="538"/>
  <c r="B62" i="538"/>
  <c r="B68" i="538"/>
  <c r="B73" i="538"/>
  <c r="B78" i="538"/>
  <c r="B84" i="538"/>
  <c r="B89" i="538"/>
  <c r="B94" i="538"/>
  <c r="B100" i="538"/>
  <c r="B105" i="538"/>
  <c r="B110" i="538"/>
  <c r="B116" i="538"/>
  <c r="B121" i="538"/>
  <c r="B126" i="538"/>
  <c r="B132" i="538"/>
  <c r="B137" i="538"/>
  <c r="B142" i="538"/>
  <c r="B148" i="538"/>
  <c r="B153" i="538"/>
  <c r="B158" i="538"/>
  <c r="B164" i="538"/>
  <c r="B169" i="538"/>
  <c r="B174" i="538"/>
  <c r="B180" i="538"/>
  <c r="B185" i="538"/>
  <c r="B190" i="538"/>
  <c r="B35" i="538"/>
  <c r="B37" i="538"/>
  <c r="B42" i="538"/>
  <c r="B48" i="538"/>
  <c r="B53" i="538"/>
  <c r="B58" i="538"/>
  <c r="B64" i="538"/>
  <c r="B69" i="538"/>
  <c r="B74" i="538"/>
  <c r="B80" i="538"/>
  <c r="B85" i="538"/>
  <c r="B90" i="538"/>
  <c r="B96" i="538"/>
  <c r="B101" i="538"/>
  <c r="B106" i="538"/>
  <c r="B112" i="538"/>
  <c r="B117" i="538"/>
  <c r="B122" i="538"/>
  <c r="B128" i="538"/>
  <c r="B133" i="538"/>
  <c r="B138" i="538"/>
  <c r="B144" i="538"/>
  <c r="B149" i="538"/>
  <c r="B154" i="538"/>
  <c r="B160" i="538"/>
  <c r="B165" i="538"/>
  <c r="B170" i="538"/>
  <c r="B176" i="538"/>
  <c r="B181" i="538"/>
  <c r="B186" i="538"/>
  <c r="B192" i="538"/>
  <c r="B82" i="538"/>
  <c r="B104" i="538"/>
  <c r="B114" i="538"/>
  <c r="B120" i="538"/>
  <c r="B130" i="538"/>
  <c r="B141" i="538"/>
  <c r="B146" i="538"/>
  <c r="B157" i="538"/>
  <c r="B168" i="538"/>
  <c r="B173" i="538"/>
  <c r="B184" i="538"/>
  <c r="B194" i="538"/>
  <c r="B38" i="538"/>
  <c r="B44" i="538"/>
  <c r="B49" i="538"/>
  <c r="B54" i="538"/>
  <c r="B60" i="538"/>
  <c r="B65" i="538"/>
  <c r="B70" i="538"/>
  <c r="B76" i="538"/>
  <c r="B81" i="538"/>
  <c r="B86" i="538"/>
  <c r="B92" i="538"/>
  <c r="B97" i="538"/>
  <c r="B102" i="538"/>
  <c r="B108" i="538"/>
  <c r="B113" i="538"/>
  <c r="B118" i="538"/>
  <c r="B124" i="538"/>
  <c r="B129" i="538"/>
  <c r="B134" i="538"/>
  <c r="B140" i="538"/>
  <c r="B145" i="538"/>
  <c r="B150" i="538"/>
  <c r="B156" i="538"/>
  <c r="B161" i="538"/>
  <c r="B166" i="538"/>
  <c r="B172" i="538"/>
  <c r="B177" i="538"/>
  <c r="B182" i="538"/>
  <c r="B188" i="538"/>
  <c r="B193" i="538"/>
  <c r="B40" i="538"/>
  <c r="B45" i="538"/>
  <c r="B50" i="538"/>
  <c r="B56" i="538"/>
  <c r="B61" i="538"/>
  <c r="B66" i="538"/>
  <c r="B72" i="538"/>
  <c r="B77" i="538"/>
  <c r="B88" i="538"/>
  <c r="B93" i="538"/>
  <c r="B98" i="538"/>
  <c r="B109" i="538"/>
  <c r="B125" i="538"/>
  <c r="B136" i="538"/>
  <c r="B152" i="538"/>
  <c r="B162" i="538"/>
  <c r="B178" i="538"/>
  <c r="B189" i="538"/>
  <c r="G20" i="538"/>
  <c r="G21" i="538" s="1"/>
  <c r="C35" i="538"/>
  <c r="D46" i="538" s="1"/>
  <c r="C194" i="538"/>
  <c r="C189" i="538"/>
  <c r="C134" i="538"/>
  <c r="D145" i="538" s="1"/>
  <c r="C36" i="538"/>
  <c r="D47" i="538" s="1"/>
  <c r="C151" i="538"/>
  <c r="D162" i="538" s="1"/>
  <c r="C188" i="538"/>
  <c r="C193" i="538"/>
  <c r="C95" i="538"/>
  <c r="D106" i="538" s="1"/>
  <c r="C58" i="538"/>
  <c r="D69" i="538" s="1"/>
  <c r="C54" i="538"/>
  <c r="D65" i="538" s="1"/>
  <c r="C94" i="538"/>
  <c r="D105" i="538" s="1"/>
  <c r="C93" i="538"/>
  <c r="D104" i="538" s="1"/>
  <c r="C77" i="538"/>
  <c r="D88" i="538" s="1"/>
  <c r="C61" i="538"/>
  <c r="D72" i="538" s="1"/>
  <c r="C45" i="538"/>
  <c r="D56" i="538" s="1"/>
  <c r="C88" i="538"/>
  <c r="D99" i="538" s="1"/>
  <c r="C72" i="538"/>
  <c r="D83" i="538" s="1"/>
  <c r="C56" i="538"/>
  <c r="D67" i="538" s="1"/>
  <c r="C40" i="538"/>
  <c r="D51" i="538" s="1"/>
  <c r="C79" i="538"/>
  <c r="D90" i="538" s="1"/>
  <c r="C63" i="538"/>
  <c r="D74" i="538" s="1"/>
  <c r="C47" i="538"/>
  <c r="D58" i="538" s="1"/>
  <c r="C152" i="538"/>
  <c r="D163" i="538" s="1"/>
  <c r="C38" i="538"/>
  <c r="D49" i="538" s="1"/>
  <c r="C42" i="538"/>
  <c r="D53" i="538" s="1"/>
  <c r="C82" i="538"/>
  <c r="D93" i="538" s="1"/>
  <c r="C78" i="538"/>
  <c r="D89" i="538" s="1"/>
  <c r="C89" i="538"/>
  <c r="D100" i="538" s="1"/>
  <c r="C73" i="538"/>
  <c r="D84" i="538" s="1"/>
  <c r="C57" i="538"/>
  <c r="D68" i="538" s="1"/>
  <c r="C41" i="538"/>
  <c r="D52" i="538" s="1"/>
  <c r="C84" i="538"/>
  <c r="D95" i="538" s="1"/>
  <c r="C68" i="538"/>
  <c r="D79" i="538" s="1"/>
  <c r="C52" i="538"/>
  <c r="D63" i="538" s="1"/>
  <c r="C91" i="538"/>
  <c r="D102" i="538" s="1"/>
  <c r="C75" i="538"/>
  <c r="D86" i="538" s="1"/>
  <c r="C59" i="538"/>
  <c r="D70" i="538" s="1"/>
  <c r="C43" i="538"/>
  <c r="D54" i="538" s="1"/>
  <c r="C92" i="538"/>
  <c r="D103" i="538" s="1"/>
  <c r="C60" i="538"/>
  <c r="D71" i="538" s="1"/>
  <c r="C83" i="538"/>
  <c r="D94" i="538" s="1"/>
  <c r="C51" i="538"/>
  <c r="D62" i="538" s="1"/>
  <c r="C195" i="538"/>
  <c r="C190" i="538"/>
  <c r="C90" i="538"/>
  <c r="D101" i="538" s="1"/>
  <c r="C86" i="538"/>
  <c r="D97" i="538" s="1"/>
  <c r="C66" i="538"/>
  <c r="D77" i="538" s="1"/>
  <c r="C62" i="538"/>
  <c r="D73" i="538" s="1"/>
  <c r="C85" i="538"/>
  <c r="D96" i="538" s="1"/>
  <c r="C69" i="538"/>
  <c r="D80" i="538" s="1"/>
  <c r="C53" i="538"/>
  <c r="D64" i="538" s="1"/>
  <c r="C37" i="538"/>
  <c r="D48" i="538" s="1"/>
  <c r="C80" i="538"/>
  <c r="D91" i="538" s="1"/>
  <c r="C64" i="538"/>
  <c r="D75" i="538" s="1"/>
  <c r="C48" i="538"/>
  <c r="D59" i="538" s="1"/>
  <c r="C87" i="538"/>
  <c r="D98" i="538" s="1"/>
  <c r="C71" i="538"/>
  <c r="D82" i="538" s="1"/>
  <c r="C55" i="538"/>
  <c r="D66" i="538" s="1"/>
  <c r="C39" i="538"/>
  <c r="D50" i="538" s="1"/>
  <c r="C135" i="538"/>
  <c r="D146" i="538" s="1"/>
  <c r="C74" i="538"/>
  <c r="D85" i="538" s="1"/>
  <c r="C70" i="538"/>
  <c r="D81" i="538" s="1"/>
  <c r="C50" i="538"/>
  <c r="D61" i="538" s="1"/>
  <c r="C46" i="538"/>
  <c r="D57" i="538" s="1"/>
  <c r="C81" i="538"/>
  <c r="D92" i="538" s="1"/>
  <c r="C65" i="538"/>
  <c r="D76" i="538" s="1"/>
  <c r="C49" i="538"/>
  <c r="D60" i="538" s="1"/>
  <c r="C76" i="538"/>
  <c r="D87" i="538" s="1"/>
  <c r="C44" i="538"/>
  <c r="D55" i="538" s="1"/>
  <c r="C67" i="538"/>
  <c r="D78" i="538" s="1"/>
  <c r="C96" i="538"/>
  <c r="D107" i="538" s="1"/>
  <c r="C153" i="538"/>
  <c r="D164" i="538" s="1"/>
  <c r="C191" i="538"/>
  <c r="C136" i="538"/>
  <c r="D147" i="538" s="1"/>
  <c r="C192" i="538"/>
  <c r="C137" i="538"/>
  <c r="D148" i="538" s="1"/>
  <c r="C97" i="538"/>
  <c r="D108" i="538" s="1"/>
  <c r="C154" i="538"/>
  <c r="D165" i="538" s="1"/>
  <c r="C155" i="538"/>
  <c r="D166" i="538" s="1"/>
  <c r="C138" i="538"/>
  <c r="D149" i="538" s="1"/>
  <c r="C98" i="538"/>
  <c r="D109" i="538" s="1"/>
  <c r="C139" i="538"/>
  <c r="D150" i="538" s="1"/>
  <c r="C156" i="538"/>
  <c r="D167" i="538" s="1"/>
  <c r="C99" i="538"/>
  <c r="D110" i="538" s="1"/>
  <c r="C140" i="538"/>
  <c r="D151" i="538" s="1"/>
  <c r="C100" i="538"/>
  <c r="D111" i="538" s="1"/>
  <c r="C157" i="538"/>
  <c r="D168" i="538" s="1"/>
  <c r="C141" i="538"/>
  <c r="D152" i="538" s="1"/>
  <c r="C101" i="538"/>
  <c r="D112" i="538" s="1"/>
  <c r="C158" i="538"/>
  <c r="D169" i="538" s="1"/>
  <c r="C142" i="538"/>
  <c r="D153" i="538" s="1"/>
  <c r="C102" i="538"/>
  <c r="D113" i="538" s="1"/>
  <c r="C159" i="538"/>
  <c r="D170" i="538" s="1"/>
  <c r="C143" i="538"/>
  <c r="D154" i="538" s="1"/>
  <c r="C103" i="538"/>
  <c r="D114" i="538" s="1"/>
  <c r="C160" i="538"/>
  <c r="D171" i="538" s="1"/>
  <c r="C144" i="538"/>
  <c r="D155" i="538" s="1"/>
  <c r="C104" i="538"/>
  <c r="D115" i="538" s="1"/>
  <c r="C161" i="538"/>
  <c r="D172" i="538" s="1"/>
  <c r="C145" i="538"/>
  <c r="D156" i="538" s="1"/>
  <c r="C162" i="538"/>
  <c r="D173" i="538" s="1"/>
  <c r="C105" i="538"/>
  <c r="D116" i="538" s="1"/>
  <c r="C146" i="538"/>
  <c r="D157" i="538" s="1"/>
  <c r="C106" i="538"/>
  <c r="D117" i="538" s="1"/>
  <c r="C163" i="538"/>
  <c r="D174" i="538" s="1"/>
  <c r="C147" i="538"/>
  <c r="D158" i="538" s="1"/>
  <c r="C107" i="538"/>
  <c r="D118" i="538" s="1"/>
  <c r="C164" i="538"/>
  <c r="D175" i="538" s="1"/>
  <c r="C148" i="538"/>
  <c r="D159" i="538" s="1"/>
  <c r="C165" i="538"/>
  <c r="D176" i="538" s="1"/>
  <c r="C108" i="538"/>
  <c r="D119" i="538" s="1"/>
  <c r="C149" i="538"/>
  <c r="D160" i="538" s="1"/>
  <c r="C109" i="538"/>
  <c r="D120" i="538" s="1"/>
  <c r="C166" i="538"/>
  <c r="D177" i="538" s="1"/>
  <c r="C150" i="538"/>
  <c r="D161" i="538" s="1"/>
  <c r="C110" i="538"/>
  <c r="D121" i="538" s="1"/>
  <c r="C167" i="538"/>
  <c r="D178" i="538" s="1"/>
  <c r="C168" i="538"/>
  <c r="D179" i="538" s="1"/>
  <c r="C111" i="538"/>
  <c r="D122" i="538" s="1"/>
  <c r="C169" i="538"/>
  <c r="D180" i="538" s="1"/>
  <c r="C112" i="538"/>
  <c r="D123" i="538" s="1"/>
  <c r="C113" i="538"/>
  <c r="D124" i="538" s="1"/>
  <c r="C170" i="538"/>
  <c r="D181" i="538" s="1"/>
  <c r="C114" i="538"/>
  <c r="D125" i="538" s="1"/>
  <c r="C171" i="538"/>
  <c r="D182" i="538" s="1"/>
  <c r="C115" i="538"/>
  <c r="D126" i="538" s="1"/>
  <c r="C172" i="538"/>
  <c r="D183" i="538" s="1"/>
  <c r="C116" i="538"/>
  <c r="D127" i="538" s="1"/>
  <c r="C173" i="538"/>
  <c r="D184" i="538" s="1"/>
  <c r="C117" i="538"/>
  <c r="D128" i="538" s="1"/>
  <c r="C174" i="538"/>
  <c r="D185" i="538" s="1"/>
  <c r="C175" i="538"/>
  <c r="D186" i="538" s="1"/>
  <c r="C118" i="538"/>
  <c r="D129" i="538" s="1"/>
  <c r="C176" i="538"/>
  <c r="D187" i="538" s="1"/>
  <c r="C119" i="538"/>
  <c r="D130" i="538" s="1"/>
  <c r="C120" i="538"/>
  <c r="D131" i="538" s="1"/>
  <c r="C177" i="538"/>
  <c r="D188" i="538" s="1"/>
  <c r="C121" i="538"/>
  <c r="D132" i="538" s="1"/>
  <c r="C178" i="538"/>
  <c r="D189" i="538" s="1"/>
  <c r="C179" i="538"/>
  <c r="D190" i="538" s="1"/>
  <c r="C122" i="538"/>
  <c r="D133" i="538" s="1"/>
  <c r="C180" i="538"/>
  <c r="D191" i="538" s="1"/>
  <c r="C123" i="538"/>
  <c r="D134" i="538" s="1"/>
  <c r="C181" i="538"/>
  <c r="D192" i="538" s="1"/>
  <c r="C124" i="538"/>
  <c r="D135" i="538" s="1"/>
  <c r="C182" i="538"/>
  <c r="D193" i="538" s="1"/>
  <c r="C125" i="538"/>
  <c r="D136" i="538" s="1"/>
  <c r="C183" i="538"/>
  <c r="D194" i="538" s="1"/>
  <c r="C126" i="538"/>
  <c r="D137" i="538" s="1"/>
  <c r="C184" i="538"/>
  <c r="D195" i="538" s="1"/>
  <c r="C127" i="538"/>
  <c r="D138" i="538" s="1"/>
  <c r="C128" i="538"/>
  <c r="D139" i="538" s="1"/>
  <c r="C185" i="538"/>
  <c r="C186" i="538"/>
  <c r="C129" i="538"/>
  <c r="D140" i="538" s="1"/>
  <c r="C187" i="538"/>
  <c r="C130" i="538"/>
  <c r="D141" i="538" s="1"/>
  <c r="C131" i="538"/>
  <c r="D142" i="538" s="1"/>
  <c r="C133" i="538"/>
  <c r="D144" i="538" s="1"/>
  <c r="C132" i="538"/>
  <c r="D143" i="538" s="1"/>
  <c r="B7" i="246"/>
  <c r="B9" i="246" s="1"/>
  <c r="B11" i="246"/>
  <c r="G14" i="538"/>
  <c r="G16" i="538" s="1"/>
  <c r="K9" i="538"/>
  <c r="A52" i="546" l="1"/>
  <c r="G23" i="538"/>
  <c r="L9" i="538"/>
  <c r="K10" i="538"/>
  <c r="A53" i="546" l="1"/>
  <c r="L10" i="538"/>
  <c r="K11" i="538"/>
  <c r="AX9" i="535"/>
  <c r="AX10" i="535" s="1"/>
  <c r="AX8" i="535"/>
  <c r="AS10" i="535"/>
  <c r="AS11" i="535" s="1"/>
  <c r="AS9" i="535"/>
  <c r="A54" i="546" l="1"/>
  <c r="N10" i="538"/>
  <c r="N7" i="538"/>
  <c r="N9" i="538"/>
  <c r="N8" i="538"/>
  <c r="L14" i="540"/>
  <c r="L15" i="540" s="1"/>
  <c r="G25" i="538"/>
  <c r="B13" i="542"/>
  <c r="N6" i="538"/>
  <c r="B13" i="541"/>
  <c r="B13" i="246"/>
  <c r="L11" i="538"/>
  <c r="K12" i="538"/>
  <c r="N11" i="538"/>
  <c r="AX12" i="535"/>
  <c r="AS13" i="535"/>
  <c r="AI9" i="535"/>
  <c r="AI10" i="535" s="1"/>
  <c r="AI8" i="535"/>
  <c r="A55" i="546" l="1"/>
  <c r="L12" i="538"/>
  <c r="N12" i="538"/>
  <c r="K13" i="538"/>
  <c r="AI12" i="535"/>
  <c r="A9" i="536"/>
  <c r="A56" i="546" l="1"/>
  <c r="A10" i="536"/>
  <c r="L13" i="538"/>
  <c r="K14" i="538"/>
  <c r="Q9" i="535"/>
  <c r="A9" i="535"/>
  <c r="A10" i="535" l="1"/>
  <c r="A57" i="546"/>
  <c r="Q10" i="535"/>
  <c r="A11" i="536"/>
  <c r="L14" i="538"/>
  <c r="K15" i="538"/>
  <c r="A11" i="535" l="1"/>
  <c r="A58" i="546"/>
  <c r="A12" i="536"/>
  <c r="Q11" i="535"/>
  <c r="L15" i="538"/>
  <c r="K16" i="538"/>
  <c r="A12" i="535" l="1"/>
  <c r="A59" i="546"/>
  <c r="Q12" i="535"/>
  <c r="A13" i="535"/>
  <c r="A13" i="536"/>
  <c r="L16" i="538"/>
  <c r="K17" i="538"/>
  <c r="Q13" i="535" l="1"/>
  <c r="A60" i="546"/>
  <c r="A14" i="536"/>
  <c r="A14" i="535"/>
  <c r="L17" i="538"/>
  <c r="K18" i="538"/>
  <c r="F22" i="483"/>
  <c r="E22" i="483"/>
  <c r="F21" i="483"/>
  <c r="E21" i="483"/>
  <c r="Q14" i="535" l="1"/>
  <c r="Q15" i="535" s="1"/>
  <c r="A61" i="546"/>
  <c r="A15" i="535"/>
  <c r="A15" i="536"/>
  <c r="L18" i="538"/>
  <c r="K19" i="538"/>
  <c r="H24" i="30"/>
  <c r="G24" i="30"/>
  <c r="F24" i="30"/>
  <c r="Q16" i="535" l="1"/>
  <c r="A62" i="546"/>
  <c r="A16" i="536"/>
  <c r="A16" i="535"/>
  <c r="L19" i="538"/>
  <c r="K20" i="538"/>
  <c r="G23" i="22"/>
  <c r="G24" i="22" s="1"/>
  <c r="H23" i="22"/>
  <c r="H24" i="22" s="1"/>
  <c r="G25" i="22"/>
  <c r="H25" i="22"/>
  <c r="G27" i="22"/>
  <c r="H27" i="22"/>
  <c r="F27" i="22"/>
  <c r="F25" i="22"/>
  <c r="F23" i="22"/>
  <c r="F26" i="22" s="1"/>
  <c r="O6" i="12"/>
  <c r="O7" i="12"/>
  <c r="O8" i="12"/>
  <c r="O9" i="12"/>
  <c r="O10" i="12"/>
  <c r="O11" i="12"/>
  <c r="O12" i="12"/>
  <c r="O13" i="12"/>
  <c r="O15" i="12"/>
  <c r="O16" i="12"/>
  <c r="O17" i="12"/>
  <c r="O18" i="12"/>
  <c r="O19" i="12"/>
  <c r="O20" i="12"/>
  <c r="O21" i="12"/>
  <c r="N21" i="12"/>
  <c r="N20" i="12"/>
  <c r="N19" i="12"/>
  <c r="N18" i="12"/>
  <c r="N17" i="12"/>
  <c r="N16" i="12"/>
  <c r="N15" i="12"/>
  <c r="N13" i="12"/>
  <c r="N12" i="12"/>
  <c r="N11" i="12"/>
  <c r="N10" i="12"/>
  <c r="N9" i="12"/>
  <c r="N8" i="12"/>
  <c r="N7" i="12"/>
  <c r="N6" i="12"/>
  <c r="O5" i="12"/>
  <c r="N5" i="12"/>
  <c r="P21" i="11"/>
  <c r="P20" i="11"/>
  <c r="O21" i="11"/>
  <c r="O20" i="11"/>
  <c r="Q17" i="535" l="1"/>
  <c r="A17" i="535"/>
  <c r="A63" i="546"/>
  <c r="A17" i="536"/>
  <c r="G26" i="22"/>
  <c r="F24" i="22"/>
  <c r="L20" i="538"/>
  <c r="K21" i="538"/>
  <c r="O14" i="12"/>
  <c r="H26" i="22"/>
  <c r="N14" i="12"/>
  <c r="J32" i="30"/>
  <c r="E24" i="30"/>
  <c r="H23" i="30"/>
  <c r="G23" i="30"/>
  <c r="F23" i="30"/>
  <c r="E23" i="30"/>
  <c r="O49" i="29"/>
  <c r="M41" i="29"/>
  <c r="L41" i="29"/>
  <c r="K41" i="29"/>
  <c r="J41" i="29"/>
  <c r="M40" i="29"/>
  <c r="L40" i="29"/>
  <c r="K40" i="29"/>
  <c r="J40" i="29"/>
  <c r="Q18" i="535" l="1"/>
  <c r="Q19" i="535" s="1"/>
  <c r="A18" i="535"/>
  <c r="A64" i="546"/>
  <c r="A18" i="536"/>
  <c r="A19" i="535"/>
  <c r="M51" i="29"/>
  <c r="F34" i="30"/>
  <c r="F35" i="30" s="1"/>
  <c r="H25" i="30"/>
  <c r="F29" i="30" s="1"/>
  <c r="F30" i="30" s="1"/>
  <c r="H29" i="30"/>
  <c r="H30" i="30" s="1"/>
  <c r="J30" i="30" s="1"/>
  <c r="H34" i="30"/>
  <c r="K51" i="29"/>
  <c r="K52" i="29" s="1"/>
  <c r="L21" i="538"/>
  <c r="K22" i="538"/>
  <c r="M42" i="29"/>
  <c r="M46" i="29"/>
  <c r="H35" i="30" l="1"/>
  <c r="M52" i="29"/>
  <c r="G34" i="30"/>
  <c r="Q20" i="535"/>
  <c r="A65" i="546"/>
  <c r="A20" i="535"/>
  <c r="A19" i="536"/>
  <c r="L51" i="29"/>
  <c r="G29" i="30"/>
  <c r="I29" i="30" s="1"/>
  <c r="M29" i="30" s="1"/>
  <c r="I25" i="30"/>
  <c r="N34" i="30"/>
  <c r="N35" i="30" s="1"/>
  <c r="J29" i="30"/>
  <c r="L30" i="30"/>
  <c r="L22" i="538"/>
  <c r="K23" i="538"/>
  <c r="M47" i="29"/>
  <c r="O47" i="29" s="1"/>
  <c r="O46" i="29"/>
  <c r="N42" i="29"/>
  <c r="K46" i="29"/>
  <c r="G35" i="30"/>
  <c r="L52" i="29"/>
  <c r="K30" i="30"/>
  <c r="R51" i="29" l="1"/>
  <c r="R52" i="29"/>
  <c r="P52" i="29"/>
  <c r="Q52" i="29"/>
  <c r="K35" i="30"/>
  <c r="L35" i="30"/>
  <c r="S51" i="29"/>
  <c r="S52" i="29" s="1"/>
  <c r="M34" i="30"/>
  <c r="M35" i="30"/>
  <c r="G30" i="30"/>
  <c r="I30" i="30" s="1"/>
  <c r="M30" i="30" s="1"/>
  <c r="A66" i="546"/>
  <c r="Q21" i="535"/>
  <c r="A20" i="536"/>
  <c r="A21" i="535"/>
  <c r="N29" i="30"/>
  <c r="N30" i="30" s="1"/>
  <c r="K24" i="538"/>
  <c r="L23" i="538"/>
  <c r="K47" i="29"/>
  <c r="P47" i="29" s="1"/>
  <c r="L46" i="29"/>
  <c r="Q22" i="535" l="1"/>
  <c r="A67" i="546"/>
  <c r="A22" i="535"/>
  <c r="A21" i="536"/>
  <c r="Q47" i="29"/>
  <c r="L24" i="538"/>
  <c r="K25" i="538"/>
  <c r="N46" i="29"/>
  <c r="R46" i="29" s="1"/>
  <c r="S46" i="29"/>
  <c r="S47" i="29" s="1"/>
  <c r="L47" i="29"/>
  <c r="N47" i="29" s="1"/>
  <c r="R47" i="29" s="1"/>
  <c r="A68" i="546" l="1"/>
  <c r="Q23" i="535"/>
  <c r="A22" i="536"/>
  <c r="A23" i="535"/>
  <c r="L25" i="538"/>
  <c r="K26" i="538"/>
  <c r="Q24" i="535" l="1"/>
  <c r="A69" i="546"/>
  <c r="A24" i="535"/>
  <c r="A23" i="536"/>
  <c r="L26" i="538"/>
  <c r="A70" i="546" l="1"/>
  <c r="Q25" i="535"/>
  <c r="A24" i="536"/>
  <c r="A25" i="535"/>
  <c r="Q26" i="535" l="1"/>
  <c r="A71" i="546"/>
  <c r="A26" i="535"/>
  <c r="A25" i="536"/>
  <c r="A72" i="546" l="1"/>
  <c r="A27" i="535"/>
  <c r="Q27" i="535"/>
  <c r="A26" i="536"/>
  <c r="Q28" i="535" l="1"/>
  <c r="A28" i="535"/>
  <c r="A73" i="546"/>
  <c r="A27" i="536"/>
  <c r="A29" i="535" l="1"/>
  <c r="A74" i="546"/>
  <c r="Q29" i="535"/>
  <c r="A28" i="536"/>
  <c r="Q30" i="535" l="1"/>
  <c r="A75" i="546"/>
  <c r="A30" i="535"/>
  <c r="A29" i="536"/>
  <c r="A31" i="535" l="1"/>
  <c r="A76" i="546"/>
  <c r="Q31" i="535"/>
  <c r="A30" i="536"/>
  <c r="Q32" i="535" l="1"/>
  <c r="A77" i="546"/>
  <c r="A32" i="535"/>
  <c r="A31" i="536"/>
  <c r="A33" i="535" l="1"/>
  <c r="A78" i="546"/>
  <c r="Q33" i="535"/>
  <c r="A32" i="536"/>
  <c r="Q34" i="535" l="1"/>
  <c r="A79" i="546"/>
  <c r="A34" i="535"/>
  <c r="A33" i="536"/>
  <c r="A35" i="535" l="1"/>
  <c r="A34" i="536"/>
  <c r="A80" i="546"/>
  <c r="Q35" i="535"/>
  <c r="A35" i="536" l="1"/>
  <c r="A81" i="546"/>
  <c r="Q36" i="535"/>
  <c r="A36" i="535"/>
  <c r="A36" i="536"/>
  <c r="A37" i="535" l="1"/>
  <c r="A37" i="536"/>
  <c r="Q37" i="535"/>
  <c r="A82" i="546"/>
  <c r="A38" i="536" l="1"/>
  <c r="A83" i="546"/>
  <c r="Q38" i="535"/>
  <c r="A38" i="535"/>
  <c r="A39" i="536" l="1"/>
  <c r="Q39" i="535"/>
  <c r="A39" i="535"/>
  <c r="A84" i="546"/>
  <c r="A40" i="536"/>
  <c r="A85" i="546" l="1"/>
  <c r="A40" i="535"/>
  <c r="Q40" i="535"/>
  <c r="A41" i="536"/>
  <c r="Q41" i="535" l="1"/>
  <c r="A41" i="535"/>
  <c r="A86" i="546"/>
  <c r="A42" i="536"/>
  <c r="A42" i="535" l="1"/>
  <c r="A87" i="546"/>
  <c r="Q42" i="535"/>
  <c r="A43" i="536"/>
  <c r="Q43" i="535" l="1"/>
  <c r="A88" i="546"/>
  <c r="A43" i="535"/>
  <c r="A44" i="536"/>
  <c r="A89" i="546" l="1"/>
  <c r="A44" i="535"/>
  <c r="Q44" i="535"/>
  <c r="A45" i="536"/>
  <c r="Q45" i="535" l="1"/>
  <c r="A45" i="535"/>
  <c r="A90" i="546"/>
  <c r="A46" i="536"/>
  <c r="N13" i="538"/>
  <c r="A46" i="535" l="1"/>
  <c r="A91" i="546"/>
  <c r="Q46" i="535"/>
  <c r="A47" i="536"/>
  <c r="A92" i="546" l="1"/>
  <c r="Q47" i="535"/>
  <c r="A47" i="535"/>
  <c r="A48" i="536"/>
  <c r="A48" i="535" l="1"/>
  <c r="Q48" i="535"/>
  <c r="A93" i="546"/>
  <c r="A49" i="536"/>
  <c r="A94" i="546" l="1"/>
  <c r="Q49" i="535"/>
  <c r="A49" i="535"/>
  <c r="A50" i="536"/>
  <c r="A95" i="546" l="1"/>
  <c r="A50" i="535"/>
  <c r="Q50" i="535"/>
  <c r="A51" i="536"/>
  <c r="I5" i="498"/>
  <c r="A96" i="546" l="1"/>
  <c r="Q51" i="535"/>
  <c r="A51" i="535"/>
  <c r="A52" i="536"/>
  <c r="A97" i="546" l="1"/>
  <c r="A52" i="535"/>
  <c r="Q52" i="535"/>
  <c r="A53" i="536"/>
  <c r="S33" i="15"/>
  <c r="Q32" i="15"/>
  <c r="Q31" i="15" s="1"/>
  <c r="Q53" i="535" l="1"/>
  <c r="A53" i="535"/>
  <c r="A98" i="546"/>
  <c r="A54" i="536"/>
  <c r="N20" i="538"/>
  <c r="N25" i="538"/>
  <c r="N18" i="538"/>
  <c r="N26" i="538"/>
  <c r="N16" i="538"/>
  <c r="N24" i="538"/>
  <c r="N17" i="538"/>
  <c r="K5" i="498"/>
  <c r="J5" i="498"/>
  <c r="N22" i="538"/>
  <c r="N19" i="538"/>
  <c r="N14" i="538"/>
  <c r="N23" i="538"/>
  <c r="N21" i="538"/>
  <c r="N15" i="538"/>
  <c r="I6" i="498"/>
  <c r="I7" i="498"/>
  <c r="I8" i="498"/>
  <c r="E7" i="498" a="1"/>
  <c r="F6" i="498" a="1"/>
  <c r="E6" i="498" a="1"/>
  <c r="Q30" i="15"/>
  <c r="S31" i="15"/>
  <c r="S32" i="15"/>
  <c r="A54" i="535" l="1"/>
  <c r="A99" i="546"/>
  <c r="Q54" i="535"/>
  <c r="A55" i="536"/>
  <c r="F7" i="498" a="1"/>
  <c r="F7" i="498" s="1"/>
  <c r="F8" i="498" a="1"/>
  <c r="F8" i="498" s="1"/>
  <c r="E8" i="498" a="1"/>
  <c r="E8" i="498" s="1"/>
  <c r="E6" i="498"/>
  <c r="E7" i="498"/>
  <c r="F6" i="498"/>
  <c r="Q29" i="15"/>
  <c r="S30" i="15"/>
  <c r="R31" i="15" s="1"/>
  <c r="R32" i="15"/>
  <c r="R33" i="15"/>
  <c r="G8" i="498" l="1" a="1"/>
  <c r="G8" i="498" s="1"/>
  <c r="G7" i="498" a="1"/>
  <c r="G7" i="498" s="1"/>
  <c r="F9" i="498" a="1"/>
  <c r="F9" i="498" s="1"/>
  <c r="A100" i="546"/>
  <c r="Q55" i="535"/>
  <c r="A55" i="535"/>
  <c r="A56" i="536"/>
  <c r="E9" i="498" a="1"/>
  <c r="E9" i="498" s="1"/>
  <c r="G6" i="498" a="1"/>
  <c r="G6" i="498" s="1"/>
  <c r="L7" i="498"/>
  <c r="L6" i="498"/>
  <c r="K9" i="498"/>
  <c r="O7" i="498"/>
  <c r="P7" i="498"/>
  <c r="J9" i="498"/>
  <c r="L8" i="498"/>
  <c r="Q28" i="15"/>
  <c r="S29" i="15"/>
  <c r="R30" i="15" s="1"/>
  <c r="I24" i="488"/>
  <c r="H24" i="488"/>
  <c r="G24" i="488"/>
  <c r="F24" i="488"/>
  <c r="I22" i="488"/>
  <c r="H22" i="488"/>
  <c r="G22" i="488"/>
  <c r="F22" i="488"/>
  <c r="I21" i="488"/>
  <c r="H21" i="488"/>
  <c r="G21" i="488"/>
  <c r="F21" i="488"/>
  <c r="I19" i="488"/>
  <c r="H19" i="488"/>
  <c r="G19" i="488"/>
  <c r="F19" i="488"/>
  <c r="I18" i="488"/>
  <c r="H18" i="488"/>
  <c r="G18" i="488"/>
  <c r="F18" i="488"/>
  <c r="I17" i="488"/>
  <c r="H17" i="488"/>
  <c r="G17" i="488"/>
  <c r="F17" i="488"/>
  <c r="I16" i="488"/>
  <c r="H16" i="488"/>
  <c r="G16" i="488"/>
  <c r="F16" i="488"/>
  <c r="G9" i="498" l="1" a="1"/>
  <c r="G9" i="498" s="1"/>
  <c r="A56" i="535"/>
  <c r="Q56" i="535"/>
  <c r="A101" i="546"/>
  <c r="A57" i="536"/>
  <c r="Q7" i="498"/>
  <c r="Q11" i="498" s="1"/>
  <c r="L9" i="498"/>
  <c r="N7" i="498" s="1"/>
  <c r="Q27" i="15"/>
  <c r="S28" i="15"/>
  <c r="R29" i="15" s="1"/>
  <c r="A102" i="546" l="1"/>
  <c r="Q57" i="535"/>
  <c r="A57" i="535"/>
  <c r="A58" i="536"/>
  <c r="Q12" i="498"/>
  <c r="J6" i="498" a="1"/>
  <c r="J8" i="498" s="1"/>
  <c r="Q26" i="15"/>
  <c r="S27" i="15"/>
  <c r="R27" i="15" s="1"/>
  <c r="Q58" i="535" l="1"/>
  <c r="A58" i="535"/>
  <c r="A103" i="546"/>
  <c r="A59" i="536"/>
  <c r="J6" i="498"/>
  <c r="J7" i="498"/>
  <c r="K7" i="498"/>
  <c r="K8" i="498"/>
  <c r="K6" i="498"/>
  <c r="R28" i="15"/>
  <c r="A104" i="546" l="1"/>
  <c r="A59" i="535"/>
  <c r="Q59" i="535"/>
  <c r="A60" i="536"/>
  <c r="S11" i="498"/>
  <c r="P11" i="498"/>
  <c r="R11" i="498"/>
  <c r="P12" i="498"/>
  <c r="R12" i="498"/>
  <c r="S12" i="498"/>
  <c r="A60" i="535" l="1"/>
  <c r="Q60" i="535"/>
  <c r="A105" i="546"/>
  <c r="A61" i="536"/>
  <c r="A106" i="546" l="1"/>
  <c r="Q61" i="535"/>
  <c r="A61" i="535"/>
  <c r="A62" i="536"/>
  <c r="A62" i="535" l="1"/>
  <c r="Q62" i="535"/>
  <c r="A107" i="546"/>
  <c r="A63" i="536"/>
  <c r="A108" i="546" l="1"/>
  <c r="Q63" i="535"/>
  <c r="A63" i="535"/>
  <c r="A64" i="536"/>
  <c r="A109" i="546" l="1"/>
  <c r="Q64" i="535"/>
  <c r="A64" i="535"/>
  <c r="A65" i="536"/>
  <c r="Q65" i="535" l="1"/>
  <c r="A65" i="535"/>
  <c r="A66" i="536"/>
  <c r="A66" i="535" l="1"/>
  <c r="Q66" i="535"/>
  <c r="A67" i="536"/>
  <c r="Q67" i="535" l="1"/>
  <c r="A67" i="535"/>
  <c r="A68" i="536"/>
  <c r="A68" i="535" l="1"/>
  <c r="Q68" i="535"/>
  <c r="A69" i="536"/>
  <c r="Q69" i="535" l="1"/>
  <c r="A69" i="535"/>
  <c r="A70" i="536"/>
  <c r="O5" i="484"/>
  <c r="O6" i="484"/>
  <c r="O7" i="484"/>
  <c r="O8" i="484"/>
  <c r="O4" i="484"/>
  <c r="N4" i="484"/>
  <c r="N5" i="484"/>
  <c r="N6" i="484"/>
  <c r="N7" i="484"/>
  <c r="N8" i="484"/>
  <c r="A70" i="535" l="1"/>
  <c r="A71" i="536"/>
  <c r="Q70" i="535"/>
  <c r="J11" i="484"/>
  <c r="K11" i="484"/>
  <c r="J10" i="484"/>
  <c r="K10" i="484"/>
  <c r="K4" i="484"/>
  <c r="J4" i="484"/>
  <c r="I5" i="484"/>
  <c r="K5" i="484" s="1"/>
  <c r="AC4" i="10"/>
  <c r="Z4" i="10"/>
  <c r="AB5" i="10"/>
  <c r="AC5" i="10" s="1"/>
  <c r="Y5" i="10"/>
  <c r="Z5" i="10" s="1"/>
  <c r="W5" i="10"/>
  <c r="W6" i="10"/>
  <c r="W7" i="10"/>
  <c r="W8" i="10"/>
  <c r="W9" i="10"/>
  <c r="W10" i="10"/>
  <c r="W11" i="10"/>
  <c r="W12" i="10"/>
  <c r="W13" i="10"/>
  <c r="W14" i="10"/>
  <c r="W15" i="10"/>
  <c r="W4" i="10"/>
  <c r="V4" i="10"/>
  <c r="U4" i="10"/>
  <c r="V5" i="10"/>
  <c r="V6" i="10"/>
  <c r="V7" i="10"/>
  <c r="V8" i="10"/>
  <c r="V9" i="10"/>
  <c r="V10" i="10"/>
  <c r="V11" i="10"/>
  <c r="V12" i="10"/>
  <c r="V13" i="10"/>
  <c r="V14" i="10"/>
  <c r="V15" i="10"/>
  <c r="U5" i="10"/>
  <c r="U6" i="10"/>
  <c r="U7" i="10"/>
  <c r="U8" i="10"/>
  <c r="U9" i="10"/>
  <c r="U10" i="10"/>
  <c r="U11" i="10"/>
  <c r="U12" i="10"/>
  <c r="U13" i="10"/>
  <c r="U14" i="10"/>
  <c r="U15" i="10"/>
  <c r="A72" i="536" l="1"/>
  <c r="Q71" i="535"/>
  <c r="A71" i="535"/>
  <c r="J5" i="484"/>
  <c r="I6" i="484"/>
  <c r="I7" i="484" s="1"/>
  <c r="I8" i="484" s="1"/>
  <c r="J8" i="484" s="1"/>
  <c r="AB6" i="10"/>
  <c r="Y6" i="10"/>
  <c r="Y7" i="10" s="1"/>
  <c r="Y8" i="10" s="1"/>
  <c r="Y9" i="10" s="1"/>
  <c r="Y10" i="10" s="1"/>
  <c r="Y11" i="10" s="1"/>
  <c r="Y12" i="10" s="1"/>
  <c r="Y13" i="10" s="1"/>
  <c r="Z13" i="10" s="1"/>
  <c r="G4" i="484"/>
  <c r="G5" i="484"/>
  <c r="G6" i="484"/>
  <c r="G7" i="484"/>
  <c r="G3" i="484"/>
  <c r="F3" i="484"/>
  <c r="F4" i="484"/>
  <c r="F5" i="484"/>
  <c r="F6" i="484"/>
  <c r="F7" i="484"/>
  <c r="C19" i="484"/>
  <c r="B20" i="484"/>
  <c r="C20" i="484" s="1"/>
  <c r="C10" i="484"/>
  <c r="C9" i="484"/>
  <c r="C12" i="484"/>
  <c r="B13" i="484"/>
  <c r="C13" i="484" s="1"/>
  <c r="E4" i="485"/>
  <c r="E3" i="485"/>
  <c r="E10" i="485" s="1"/>
  <c r="A73" i="536" l="1"/>
  <c r="A72" i="535"/>
  <c r="Q72" i="535"/>
  <c r="A74" i="536"/>
  <c r="J7" i="484"/>
  <c r="J6" i="484"/>
  <c r="K6" i="484"/>
  <c r="K7" i="484"/>
  <c r="Z12" i="10"/>
  <c r="K8" i="484"/>
  <c r="Z6" i="10"/>
  <c r="AB7" i="10"/>
  <c r="AC6" i="10"/>
  <c r="Z7" i="10"/>
  <c r="Z9" i="10"/>
  <c r="Z10" i="10"/>
  <c r="Z11" i="10"/>
  <c r="Y14" i="10"/>
  <c r="Z14" i="10" s="1"/>
  <c r="Z8" i="10"/>
  <c r="B21" i="484"/>
  <c r="B14" i="484"/>
  <c r="E17" i="483"/>
  <c r="E16" i="483"/>
  <c r="E12" i="483"/>
  <c r="B22" i="483"/>
  <c r="B20" i="483"/>
  <c r="B18" i="483"/>
  <c r="B17" i="483"/>
  <c r="B15" i="483"/>
  <c r="B14" i="483"/>
  <c r="B12" i="483"/>
  <c r="Q73" i="535" l="1"/>
  <c r="A73" i="535"/>
  <c r="A75" i="536"/>
  <c r="AB8" i="10"/>
  <c r="AC7" i="10"/>
  <c r="B22" i="484"/>
  <c r="C21" i="484"/>
  <c r="B15" i="484"/>
  <c r="C14" i="484"/>
  <c r="I15" i="482"/>
  <c r="I13" i="482"/>
  <c r="H15" i="482"/>
  <c r="G15" i="482"/>
  <c r="H13" i="482"/>
  <c r="G13" i="482"/>
  <c r="D21" i="482" a="1"/>
  <c r="D22" i="482" s="1"/>
  <c r="B21" i="482" a="1"/>
  <c r="B22" i="482" s="1"/>
  <c r="C21" i="482" a="1"/>
  <c r="C22" i="482" s="1"/>
  <c r="C19" i="482"/>
  <c r="D19" i="482"/>
  <c r="B19" i="482"/>
  <c r="C17" i="482"/>
  <c r="D17" i="482"/>
  <c r="B17" i="482"/>
  <c r="C15" i="482"/>
  <c r="D15" i="482"/>
  <c r="B15" i="482"/>
  <c r="C13" i="482"/>
  <c r="D13" i="482"/>
  <c r="B13" i="482"/>
  <c r="A74" i="535" l="1"/>
  <c r="Q74" i="535"/>
  <c r="A76" i="536"/>
  <c r="AB9" i="10"/>
  <c r="AC8" i="10"/>
  <c r="C22" i="484"/>
  <c r="B23" i="484"/>
  <c r="C23" i="484" s="1"/>
  <c r="B16" i="484"/>
  <c r="C16" i="484" s="1"/>
  <c r="C15" i="484"/>
  <c r="C21" i="482"/>
  <c r="B21" i="482"/>
  <c r="D21" i="482"/>
  <c r="A23" i="481"/>
  <c r="A24" i="481" s="1"/>
  <c r="A25" i="481" s="1"/>
  <c r="A26" i="481" s="1"/>
  <c r="A27" i="481" s="1"/>
  <c r="A28" i="481" s="1"/>
  <c r="A29" i="481" s="1"/>
  <c r="A30" i="481" s="1"/>
  <c r="A31" i="481" s="1"/>
  <c r="A5" i="481"/>
  <c r="A6" i="481" s="1"/>
  <c r="A7" i="481" s="1"/>
  <c r="A8" i="481" s="1"/>
  <c r="A9" i="481" s="1"/>
  <c r="A10" i="481" s="1"/>
  <c r="A11" i="481" s="1"/>
  <c r="A12" i="481" s="1"/>
  <c r="A13" i="481" s="1"/>
  <c r="A75" i="535" l="1"/>
  <c r="Q75" i="535"/>
  <c r="A77" i="536"/>
  <c r="AB10" i="10"/>
  <c r="AC9" i="10"/>
  <c r="Q76" i="535" l="1"/>
  <c r="A76" i="535"/>
  <c r="A78" i="536"/>
  <c r="AB11" i="10"/>
  <c r="AC10" i="10"/>
  <c r="A77" i="535" l="1"/>
  <c r="Q77" i="535"/>
  <c r="A79" i="536"/>
  <c r="AB12" i="10"/>
  <c r="AC11" i="10"/>
  <c r="Y5" i="480"/>
  <c r="Z5" i="480"/>
  <c r="T5" i="480"/>
  <c r="T6" i="480" s="1"/>
  <c r="T7" i="480" s="1"/>
  <c r="T8" i="480" s="1"/>
  <c r="T9" i="480" s="1"/>
  <c r="T10" i="480" s="1"/>
  <c r="T11" i="480" s="1"/>
  <c r="T12" i="480" s="1"/>
  <c r="T13" i="480" s="1"/>
  <c r="T14" i="480" s="1"/>
  <c r="T15" i="480" s="1"/>
  <c r="T16" i="480" s="1"/>
  <c r="T17" i="480" s="1"/>
  <c r="T18" i="480" s="1"/>
  <c r="T19" i="480" s="1"/>
  <c r="T20" i="480" s="1"/>
  <c r="T21" i="480" s="1"/>
  <c r="T22" i="480" s="1"/>
  <c r="T23" i="480" s="1"/>
  <c r="V4" i="480"/>
  <c r="U5" i="480" s="1"/>
  <c r="V3" i="480"/>
  <c r="W3" i="480" s="1"/>
  <c r="X3" i="480" s="1"/>
  <c r="Y3" i="480" s="1"/>
  <c r="Z3" i="480" s="1"/>
  <c r="Q5" i="480"/>
  <c r="R5" i="480"/>
  <c r="R6" i="480" s="1"/>
  <c r="R7" i="480" s="1"/>
  <c r="R8" i="480" s="1"/>
  <c r="R9" i="480" s="1"/>
  <c r="R10" i="480" s="1"/>
  <c r="R11" i="480" s="1"/>
  <c r="R12" i="480" s="1"/>
  <c r="R13" i="480" s="1"/>
  <c r="R14" i="480" s="1"/>
  <c r="R15" i="480" s="1"/>
  <c r="R16" i="480" s="1"/>
  <c r="R17" i="480" s="1"/>
  <c r="R18" i="480" s="1"/>
  <c r="R19" i="480" s="1"/>
  <c r="R20" i="480" s="1"/>
  <c r="R21" i="480" s="1"/>
  <c r="R22" i="480" s="1"/>
  <c r="R23" i="480" s="1"/>
  <c r="R24" i="480" s="1"/>
  <c r="J5" i="480"/>
  <c r="J6" i="480" s="1"/>
  <c r="J7" i="480" s="1"/>
  <c r="J8" i="480" s="1"/>
  <c r="J9" i="480" s="1"/>
  <c r="J10" i="480" s="1"/>
  <c r="J11" i="480" s="1"/>
  <c r="J12" i="480" s="1"/>
  <c r="J13" i="480" s="1"/>
  <c r="J14" i="480" s="1"/>
  <c r="J15" i="480" s="1"/>
  <c r="J16" i="480" s="1"/>
  <c r="J17" i="480" s="1"/>
  <c r="J18" i="480" s="1"/>
  <c r="J19" i="480" s="1"/>
  <c r="J20" i="480" s="1"/>
  <c r="J21" i="480" s="1"/>
  <c r="J22" i="480" s="1"/>
  <c r="J23" i="480" s="1"/>
  <c r="L4" i="480"/>
  <c r="K5" i="480" s="1"/>
  <c r="L3" i="480"/>
  <c r="M3" i="480" s="1"/>
  <c r="N3" i="480" s="1"/>
  <c r="O3" i="480" s="1"/>
  <c r="P3" i="480" s="1"/>
  <c r="Q3" i="480" s="1"/>
  <c r="R3" i="480" s="1"/>
  <c r="G5" i="480"/>
  <c r="H5" i="480"/>
  <c r="H6" i="480" s="1"/>
  <c r="A5" i="480"/>
  <c r="A6" i="480" s="1"/>
  <c r="A7" i="480" s="1"/>
  <c r="A8" i="480" s="1"/>
  <c r="A9" i="480" s="1"/>
  <c r="A10" i="480" s="1"/>
  <c r="A11" i="480" s="1"/>
  <c r="A12" i="480" s="1"/>
  <c r="A13" i="480" s="1"/>
  <c r="A14" i="480" s="1"/>
  <c r="A15" i="480" s="1"/>
  <c r="A16" i="480" s="1"/>
  <c r="A17" i="480" s="1"/>
  <c r="A18" i="480" s="1"/>
  <c r="A19" i="480" s="1"/>
  <c r="A20" i="480" s="1"/>
  <c r="A21" i="480" s="1"/>
  <c r="A22" i="480" s="1"/>
  <c r="A23" i="480" s="1"/>
  <c r="C4" i="480"/>
  <c r="D4" i="480" s="1"/>
  <c r="C5" i="480" s="1"/>
  <c r="C3" i="480"/>
  <c r="D3" i="480" s="1"/>
  <c r="E3" i="480" s="1"/>
  <c r="F3" i="480" s="1"/>
  <c r="G3" i="480" s="1"/>
  <c r="H3" i="480" s="1"/>
  <c r="Q78" i="535" l="1"/>
  <c r="A78" i="535"/>
  <c r="A80" i="536"/>
  <c r="P6" i="480"/>
  <c r="Y6" i="480"/>
  <c r="AB13" i="10"/>
  <c r="AC12" i="10"/>
  <c r="X6" i="480"/>
  <c r="Z6" i="480"/>
  <c r="Z7" i="480" s="1"/>
  <c r="Z8" i="480" s="1"/>
  <c r="Z9" i="480" s="1"/>
  <c r="Z10" i="480" s="1"/>
  <c r="Z11" i="480" s="1"/>
  <c r="Z12" i="480" s="1"/>
  <c r="Z13" i="480" s="1"/>
  <c r="Z14" i="480" s="1"/>
  <c r="Z15" i="480" s="1"/>
  <c r="Z16" i="480" s="1"/>
  <c r="Z17" i="480" s="1"/>
  <c r="Z18" i="480" s="1"/>
  <c r="Z19" i="480" s="1"/>
  <c r="Z20" i="480" s="1"/>
  <c r="Z21" i="480" s="1"/>
  <c r="Z22" i="480" s="1"/>
  <c r="Z23" i="480" s="1"/>
  <c r="Q6" i="480"/>
  <c r="B5" i="480"/>
  <c r="F6" i="480" s="1"/>
  <c r="W4" i="480"/>
  <c r="V5" i="480" s="1"/>
  <c r="U6" i="480" s="1"/>
  <c r="M4" i="480"/>
  <c r="L5" i="480" s="1"/>
  <c r="K6" i="480" s="1"/>
  <c r="E4" i="480"/>
  <c r="D5" i="480" s="1"/>
  <c r="H7" i="480"/>
  <c r="A79" i="535" l="1"/>
  <c r="Q79" i="535"/>
  <c r="A81" i="536"/>
  <c r="O7" i="480"/>
  <c r="C6" i="480"/>
  <c r="B6" i="480"/>
  <c r="G7" i="480" s="1"/>
  <c r="AB14" i="10"/>
  <c r="AC14" i="10" s="1"/>
  <c r="AC13" i="10"/>
  <c r="Q7" i="480"/>
  <c r="W7" i="480"/>
  <c r="G6" i="480"/>
  <c r="P7" i="480"/>
  <c r="Y7" i="480"/>
  <c r="X7" i="480"/>
  <c r="X4" i="480"/>
  <c r="W5" i="480" s="1"/>
  <c r="V6" i="480" s="1"/>
  <c r="U7" i="480" s="1"/>
  <c r="N4" i="480"/>
  <c r="M5" i="480" s="1"/>
  <c r="L6" i="480" s="1"/>
  <c r="K7" i="480" s="1"/>
  <c r="F4" i="480"/>
  <c r="E5" i="480" s="1"/>
  <c r="D6" i="480" s="1"/>
  <c r="H8" i="480"/>
  <c r="C7" i="480" l="1"/>
  <c r="A82" i="536"/>
  <c r="Q80" i="535"/>
  <c r="A80" i="535"/>
  <c r="E7" i="480"/>
  <c r="F7" i="480"/>
  <c r="B7" i="480"/>
  <c r="Y8" i="480"/>
  <c r="V8" i="480"/>
  <c r="W8" i="480"/>
  <c r="X8" i="480"/>
  <c r="Q8" i="480"/>
  <c r="O8" i="480"/>
  <c r="P8" i="480"/>
  <c r="N8" i="480"/>
  <c r="Y4" i="480"/>
  <c r="X5" i="480" s="1"/>
  <c r="W6" i="480" s="1"/>
  <c r="V7" i="480" s="1"/>
  <c r="U8" i="480" s="1"/>
  <c r="Y9" i="480" s="1"/>
  <c r="O4" i="480"/>
  <c r="N5" i="480" s="1"/>
  <c r="M6" i="480" s="1"/>
  <c r="L7" i="480" s="1"/>
  <c r="K8" i="480" s="1"/>
  <c r="Q9" i="480" s="1"/>
  <c r="H9" i="480"/>
  <c r="G4" i="480"/>
  <c r="F5" i="480" s="1"/>
  <c r="E6" i="480" s="1"/>
  <c r="D7" i="480" s="1"/>
  <c r="C8" i="480" s="1"/>
  <c r="B8" i="480" l="1"/>
  <c r="G9" i="480" s="1"/>
  <c r="A83" i="536"/>
  <c r="A81" i="535"/>
  <c r="Q81" i="535"/>
  <c r="V9" i="480"/>
  <c r="F8" i="480"/>
  <c r="D8" i="480"/>
  <c r="C9" i="480" s="1"/>
  <c r="G8" i="480"/>
  <c r="E8" i="480"/>
  <c r="W9" i="480"/>
  <c r="O9" i="480"/>
  <c r="N9" i="480"/>
  <c r="P9" i="480"/>
  <c r="U9" i="480"/>
  <c r="Y10" i="480" s="1"/>
  <c r="M9" i="480"/>
  <c r="X9" i="480"/>
  <c r="P4" i="480"/>
  <c r="H10" i="480"/>
  <c r="A84" i="536" l="1"/>
  <c r="F9" i="480"/>
  <c r="E9" i="480"/>
  <c r="B9" i="480"/>
  <c r="F10" i="480" s="1"/>
  <c r="D9" i="480"/>
  <c r="Q82" i="535"/>
  <c r="A82" i="535"/>
  <c r="A85" i="536"/>
  <c r="W10" i="480"/>
  <c r="U10" i="480"/>
  <c r="Y11" i="480" s="1"/>
  <c r="O5" i="480"/>
  <c r="N6" i="480" s="1"/>
  <c r="M7" i="480" s="1"/>
  <c r="L8" i="480" s="1"/>
  <c r="K9" i="480" s="1"/>
  <c r="M10" i="480" s="1"/>
  <c r="Q4" i="480"/>
  <c r="P5" i="480" s="1"/>
  <c r="O6" i="480" s="1"/>
  <c r="N7" i="480" s="1"/>
  <c r="M8" i="480" s="1"/>
  <c r="L9" i="480" s="1"/>
  <c r="V10" i="480"/>
  <c r="X10" i="480"/>
  <c r="H11" i="480"/>
  <c r="G10" i="480" l="1"/>
  <c r="B10" i="480"/>
  <c r="G11" i="480" s="1"/>
  <c r="C10" i="480"/>
  <c r="D10" i="480"/>
  <c r="C11" i="480" s="1"/>
  <c r="E10" i="480"/>
  <c r="A83" i="535"/>
  <c r="Q83" i="535"/>
  <c r="A86" i="536"/>
  <c r="U11" i="480"/>
  <c r="Y12" i="480" s="1"/>
  <c r="E11" i="480"/>
  <c r="V11" i="480"/>
  <c r="N10" i="480"/>
  <c r="W11" i="480"/>
  <c r="X11" i="480"/>
  <c r="K10" i="480"/>
  <c r="Q11" i="480" s="1"/>
  <c r="Q10" i="480"/>
  <c r="P10" i="480"/>
  <c r="O10" i="480"/>
  <c r="L10" i="480"/>
  <c r="H12" i="480"/>
  <c r="W12" i="480" l="1"/>
  <c r="F11" i="480"/>
  <c r="B11" i="480"/>
  <c r="G12" i="480" s="1"/>
  <c r="D11" i="480"/>
  <c r="Q84" i="535"/>
  <c r="A84" i="535"/>
  <c r="A87" i="536"/>
  <c r="U12" i="480"/>
  <c r="Y13" i="480" s="1"/>
  <c r="L11" i="480"/>
  <c r="X12" i="480"/>
  <c r="V12" i="480"/>
  <c r="O11" i="480"/>
  <c r="K11" i="480"/>
  <c r="Q12" i="480" s="1"/>
  <c r="N11" i="480"/>
  <c r="P11" i="480"/>
  <c r="M11" i="480"/>
  <c r="H13" i="480"/>
  <c r="F12" i="480" l="1"/>
  <c r="E12" i="480"/>
  <c r="C12" i="480"/>
  <c r="B12" i="480"/>
  <c r="D12" i="480"/>
  <c r="A85" i="535"/>
  <c r="Q85" i="535"/>
  <c r="A88" i="536"/>
  <c r="V13" i="480"/>
  <c r="X13" i="480"/>
  <c r="W13" i="480"/>
  <c r="U13" i="480"/>
  <c r="Y14" i="480" s="1"/>
  <c r="K12" i="480"/>
  <c r="Q13" i="480" s="1"/>
  <c r="P12" i="480"/>
  <c r="N12" i="480"/>
  <c r="M12" i="480"/>
  <c r="L12" i="480"/>
  <c r="O12" i="480"/>
  <c r="H14" i="480"/>
  <c r="D13" i="480" l="1"/>
  <c r="M13" i="480"/>
  <c r="G13" i="480"/>
  <c r="E13" i="480"/>
  <c r="C13" i="480"/>
  <c r="F13" i="480"/>
  <c r="B13" i="480"/>
  <c r="G14" i="480" s="1"/>
  <c r="Q86" i="535"/>
  <c r="A86" i="535"/>
  <c r="A89" i="536"/>
  <c r="W14" i="480"/>
  <c r="U14" i="480"/>
  <c r="Y15" i="480" s="1"/>
  <c r="V14" i="480"/>
  <c r="X14" i="480"/>
  <c r="N13" i="480"/>
  <c r="L13" i="480"/>
  <c r="P13" i="480"/>
  <c r="K13" i="480"/>
  <c r="Q14" i="480" s="1"/>
  <c r="O13" i="480"/>
  <c r="H15" i="480"/>
  <c r="B14" i="480" l="1"/>
  <c r="G15" i="480" s="1"/>
  <c r="C14" i="480"/>
  <c r="B15" i="480" s="1"/>
  <c r="G16" i="480" s="1"/>
  <c r="D14" i="480"/>
  <c r="C15" i="480" s="1"/>
  <c r="B16" i="480" s="1"/>
  <c r="F14" i="480"/>
  <c r="E14" i="480"/>
  <c r="D15" i="480" s="1"/>
  <c r="Q87" i="535"/>
  <c r="A87" i="535"/>
  <c r="A90" i="536"/>
  <c r="L14" i="480"/>
  <c r="V15" i="480"/>
  <c r="W15" i="480"/>
  <c r="U15" i="480"/>
  <c r="Y16" i="480" s="1"/>
  <c r="K14" i="480"/>
  <c r="Q15" i="480" s="1"/>
  <c r="N14" i="480"/>
  <c r="X15" i="480"/>
  <c r="E15" i="480"/>
  <c r="D16" i="480" s="1"/>
  <c r="F15" i="480"/>
  <c r="O14" i="480"/>
  <c r="P14" i="480"/>
  <c r="M14" i="480"/>
  <c r="L15" i="480" s="1"/>
  <c r="F16" i="480"/>
  <c r="H16" i="480"/>
  <c r="Q88" i="535" l="1"/>
  <c r="E16" i="480"/>
  <c r="D17" i="480" s="1"/>
  <c r="C16" i="480"/>
  <c r="Q89" i="535"/>
  <c r="A88" i="535"/>
  <c r="A91" i="536"/>
  <c r="P15" i="480"/>
  <c r="M15" i="480"/>
  <c r="N15" i="480"/>
  <c r="V16" i="480"/>
  <c r="X16" i="480"/>
  <c r="U16" i="480"/>
  <c r="X17" i="480" s="1"/>
  <c r="W16" i="480"/>
  <c r="K15" i="480"/>
  <c r="Q16" i="480" s="1"/>
  <c r="O15" i="480"/>
  <c r="E17" i="480"/>
  <c r="F17" i="480"/>
  <c r="G17" i="480"/>
  <c r="B17" i="480"/>
  <c r="C17" i="480"/>
  <c r="H17" i="480"/>
  <c r="P16" i="480" l="1"/>
  <c r="Q90" i="535"/>
  <c r="A89" i="535"/>
  <c r="A92" i="536"/>
  <c r="W17" i="480"/>
  <c r="B18" i="480"/>
  <c r="Y17" i="480"/>
  <c r="V17" i="480"/>
  <c r="O16" i="480"/>
  <c r="L16" i="480"/>
  <c r="N16" i="480"/>
  <c r="U17" i="480"/>
  <c r="Y18" i="480" s="1"/>
  <c r="M16" i="480"/>
  <c r="K16" i="480"/>
  <c r="Q17" i="480" s="1"/>
  <c r="F18" i="480"/>
  <c r="C18" i="480"/>
  <c r="E18" i="480"/>
  <c r="D18" i="480"/>
  <c r="C19" i="480" s="1"/>
  <c r="G18" i="480"/>
  <c r="U18" i="480"/>
  <c r="Y19" i="480" s="1"/>
  <c r="H18" i="480"/>
  <c r="Q91" i="535" l="1"/>
  <c r="A90" i="535"/>
  <c r="A93" i="536"/>
  <c r="B19" i="480"/>
  <c r="B20" i="480" s="1"/>
  <c r="F19" i="480"/>
  <c r="E19" i="480"/>
  <c r="G19" i="480"/>
  <c r="D19" i="480"/>
  <c r="X18" i="480"/>
  <c r="W19" i="480" s="1"/>
  <c r="W18" i="480"/>
  <c r="V19" i="480" s="1"/>
  <c r="O17" i="480"/>
  <c r="V18" i="480"/>
  <c r="U19" i="480" s="1"/>
  <c r="Y20" i="480" s="1"/>
  <c r="M17" i="480"/>
  <c r="K17" i="480"/>
  <c r="Q18" i="480" s="1"/>
  <c r="N17" i="480"/>
  <c r="P17" i="480"/>
  <c r="L17" i="480"/>
  <c r="X19" i="480"/>
  <c r="H19" i="480"/>
  <c r="C20" i="480" l="1"/>
  <c r="B21" i="480" s="1"/>
  <c r="Q92" i="535"/>
  <c r="A91" i="535"/>
  <c r="A94" i="536"/>
  <c r="F20" i="480"/>
  <c r="E21" i="480" s="1"/>
  <c r="G20" i="480"/>
  <c r="F21" i="480" s="1"/>
  <c r="D20" i="480"/>
  <c r="C21" i="480" s="1"/>
  <c r="E20" i="480"/>
  <c r="D21" i="480" s="1"/>
  <c r="M18" i="480"/>
  <c r="N18" i="480"/>
  <c r="V20" i="480"/>
  <c r="K18" i="480"/>
  <c r="Q19" i="480" s="1"/>
  <c r="L18" i="480"/>
  <c r="O18" i="480"/>
  <c r="P18" i="480"/>
  <c r="W20" i="480"/>
  <c r="X20" i="480"/>
  <c r="U20" i="480"/>
  <c r="Y21" i="480" s="1"/>
  <c r="H20" i="480"/>
  <c r="G21" i="480" s="1"/>
  <c r="A92" i="535" l="1"/>
  <c r="Q93" i="535"/>
  <c r="A95" i="536"/>
  <c r="M19" i="480"/>
  <c r="O19" i="480"/>
  <c r="L19" i="480"/>
  <c r="N19" i="480"/>
  <c r="P19" i="480"/>
  <c r="K19" i="480"/>
  <c r="Q20" i="480" s="1"/>
  <c r="X21" i="480"/>
  <c r="W21" i="480"/>
  <c r="E22" i="480"/>
  <c r="U21" i="480"/>
  <c r="Y22" i="480" s="1"/>
  <c r="V21" i="480"/>
  <c r="D22" i="480"/>
  <c r="B22" i="480"/>
  <c r="F22" i="480"/>
  <c r="C22" i="480"/>
  <c r="H21" i="480"/>
  <c r="G22" i="480" s="1"/>
  <c r="Q94" i="535" l="1"/>
  <c r="A93" i="535"/>
  <c r="A96" i="536"/>
  <c r="E23" i="480"/>
  <c r="K20" i="480"/>
  <c r="Q21" i="480" s="1"/>
  <c r="O20" i="480"/>
  <c r="N20" i="480"/>
  <c r="L20" i="480"/>
  <c r="M20" i="480"/>
  <c r="P20" i="480"/>
  <c r="X22" i="480"/>
  <c r="W22" i="480"/>
  <c r="V22" i="480"/>
  <c r="D23" i="480"/>
  <c r="U22" i="480"/>
  <c r="Y23" i="480" s="1"/>
  <c r="F23" i="480"/>
  <c r="B23" i="480"/>
  <c r="C23" i="480"/>
  <c r="H22" i="480"/>
  <c r="G23" i="480" s="1"/>
  <c r="A94" i="535" l="1"/>
  <c r="Q95" i="535"/>
  <c r="A97" i="536"/>
  <c r="K21" i="480"/>
  <c r="Q22" i="480" s="1"/>
  <c r="M21" i="480"/>
  <c r="O21" i="480"/>
  <c r="N21" i="480"/>
  <c r="L21" i="480"/>
  <c r="P21" i="480"/>
  <c r="C24" i="480"/>
  <c r="U23" i="480"/>
  <c r="V23" i="480"/>
  <c r="W23" i="480"/>
  <c r="X23" i="480"/>
  <c r="B24" i="480"/>
  <c r="F24" i="480"/>
  <c r="D24" i="480"/>
  <c r="E24" i="480"/>
  <c r="H23" i="480"/>
  <c r="G24" i="480" s="1"/>
  <c r="K22" i="480" l="1"/>
  <c r="Q23" i="480" s="1"/>
  <c r="Q96" i="535"/>
  <c r="A95" i="535"/>
  <c r="A98" i="536"/>
  <c r="P22" i="480"/>
  <c r="O23" i="480" s="1"/>
  <c r="O22" i="480"/>
  <c r="L22" i="480"/>
  <c r="N22" i="480"/>
  <c r="M22" i="480"/>
  <c r="L23" i="480" s="1"/>
  <c r="H24" i="480"/>
  <c r="M23" i="480" l="1"/>
  <c r="N23" i="480"/>
  <c r="P23" i="480"/>
  <c r="K23" i="480"/>
  <c r="Q24" i="480" s="1"/>
  <c r="A96" i="535"/>
  <c r="Q97" i="535"/>
  <c r="A99" i="536"/>
  <c r="K24" i="480" l="1"/>
  <c r="L24" i="480"/>
  <c r="O24" i="480"/>
  <c r="P24" i="480"/>
  <c r="N24" i="480"/>
  <c r="M24" i="480"/>
  <c r="Q98" i="535"/>
  <c r="A97" i="535"/>
  <c r="A100" i="536"/>
  <c r="A98" i="535" l="1"/>
  <c r="Q99" i="535"/>
  <c r="A101" i="536"/>
  <c r="Q100" i="535" l="1"/>
  <c r="A99" i="535"/>
  <c r="A102" i="536"/>
  <c r="A100" i="535" l="1"/>
  <c r="Q101" i="535"/>
  <c r="A103" i="536"/>
  <c r="Q102" i="535" l="1"/>
  <c r="A101" i="535"/>
  <c r="A104" i="536"/>
  <c r="A102" i="535" l="1"/>
  <c r="Q103" i="535"/>
  <c r="A105" i="536"/>
  <c r="Q104" i="535" l="1"/>
  <c r="A103" i="535"/>
  <c r="A106" i="536"/>
  <c r="A104" i="535" l="1"/>
  <c r="Q105" i="535"/>
  <c r="A107" i="536"/>
  <c r="Q106" i="535" l="1"/>
  <c r="A105" i="535"/>
  <c r="A108" i="536"/>
  <c r="A106" i="535" l="1"/>
  <c r="Q107" i="535"/>
  <c r="A109" i="536"/>
  <c r="Q108" i="535" l="1"/>
  <c r="A107" i="535"/>
  <c r="A108" i="535" l="1"/>
  <c r="Q109" i="535"/>
  <c r="Q110" i="535" l="1"/>
  <c r="A109" i="535"/>
  <c r="A110" i="535" l="1"/>
  <c r="Q111" i="535"/>
  <c r="Q112" i="535" l="1"/>
  <c r="A111" i="535"/>
  <c r="A112" i="535" l="1"/>
  <c r="Q113" i="535"/>
  <c r="Q114" i="535" l="1"/>
  <c r="A113" i="535"/>
  <c r="A114" i="535" l="1"/>
  <c r="Q115" i="535"/>
  <c r="Q116" i="535" l="1"/>
  <c r="A115" i="535"/>
  <c r="A116" i="535" l="1"/>
  <c r="Q117" i="535"/>
  <c r="Q118" i="535" l="1"/>
  <c r="A117" i="535"/>
  <c r="Q14" i="15"/>
  <c r="S14" i="15" s="1"/>
  <c r="A118" i="535" l="1"/>
  <c r="Q119" i="535"/>
  <c r="Q13" i="15"/>
  <c r="R9" i="7"/>
  <c r="R7" i="7"/>
  <c r="R6" i="7"/>
  <c r="R10" i="7"/>
  <c r="R8" i="7"/>
  <c r="U17" i="368"/>
  <c r="U19" i="368" s="1"/>
  <c r="U16" i="368"/>
  <c r="U15" i="368"/>
  <c r="U14" i="368"/>
  <c r="U8" i="368"/>
  <c r="Q120" i="535" l="1"/>
  <c r="A119" i="535"/>
  <c r="U13" i="368"/>
  <c r="U5" i="368"/>
  <c r="U20" i="368" s="1"/>
  <c r="S13" i="15"/>
  <c r="Q12" i="15"/>
  <c r="R11" i="7"/>
  <c r="S10" i="7" s="1"/>
  <c r="U18" i="368" a="1"/>
  <c r="U18" i="368" s="1"/>
  <c r="M17" i="368"/>
  <c r="M19" i="368" s="1"/>
  <c r="M16" i="368"/>
  <c r="M15" i="368"/>
  <c r="M14" i="368"/>
  <c r="M8" i="368"/>
  <c r="A120" i="535" l="1"/>
  <c r="Q121" i="535"/>
  <c r="U10" i="368"/>
  <c r="S12" i="15"/>
  <c r="Q11" i="15"/>
  <c r="R14" i="15"/>
  <c r="S9" i="7"/>
  <c r="S6" i="7"/>
  <c r="S8" i="7"/>
  <c r="S7" i="7"/>
  <c r="M18" i="368" a="1"/>
  <c r="M18" i="368" s="1"/>
  <c r="M13" i="368"/>
  <c r="M5" i="368"/>
  <c r="Q122" i="535" l="1"/>
  <c r="A121" i="535"/>
  <c r="Q10" i="15"/>
  <c r="S11" i="15"/>
  <c r="R13" i="15"/>
  <c r="U9" i="368"/>
  <c r="U11" i="368"/>
  <c r="S11" i="7"/>
  <c r="M10" i="368"/>
  <c r="M9" i="368" s="1"/>
  <c r="M20" i="368"/>
  <c r="A122" i="535" l="1"/>
  <c r="Q123" i="535"/>
  <c r="Q9" i="15"/>
  <c r="S10" i="15"/>
  <c r="R12" i="15"/>
  <c r="U6" i="368"/>
  <c r="U12" i="368"/>
  <c r="M6" i="368"/>
  <c r="M12" i="368"/>
  <c r="M11" i="368"/>
  <c r="Q124" i="535" l="1"/>
  <c r="A123" i="535"/>
  <c r="Q8" i="15"/>
  <c r="S9" i="15"/>
  <c r="R9" i="15" s="1"/>
  <c r="R11" i="15"/>
  <c r="A124" i="535" l="1"/>
  <c r="Q125" i="535"/>
  <c r="R10" i="15"/>
  <c r="Q126" i="535" l="1"/>
  <c r="A125" i="535"/>
  <c r="A126" i="535" l="1"/>
  <c r="Q127" i="535"/>
  <c r="Q128" i="535" l="1"/>
  <c r="A127" i="535"/>
  <c r="A128" i="535" l="1"/>
  <c r="Q129" i="535"/>
  <c r="Q130" i="535" l="1"/>
  <c r="A129" i="535"/>
  <c r="A130" i="535" l="1"/>
  <c r="Q131" i="535"/>
  <c r="Q132" i="535" l="1"/>
  <c r="A131" i="535"/>
  <c r="A132" i="535" l="1"/>
  <c r="Q133" i="535"/>
  <c r="Q134" i="535" l="1"/>
  <c r="A133" i="535"/>
  <c r="A134" i="535" l="1"/>
  <c r="Q135" i="535"/>
  <c r="Q136" i="535" l="1"/>
  <c r="A135" i="535"/>
  <c r="A136" i="535" l="1"/>
  <c r="Q137" i="535"/>
  <c r="Q138" i="535" l="1"/>
  <c r="A137" i="535"/>
  <c r="A138" i="535" l="1"/>
  <c r="Q139" i="535"/>
  <c r="Q140" i="535" l="1"/>
  <c r="A139" i="535"/>
  <c r="A140" i="535" l="1"/>
  <c r="Q141" i="535"/>
  <c r="Q142" i="535" l="1"/>
  <c r="A141" i="535"/>
  <c r="A142" i="535" l="1"/>
  <c r="Q143" i="535"/>
  <c r="Q144" i="535" l="1"/>
  <c r="A143" i="535"/>
  <c r="A144" i="535" l="1"/>
  <c r="Q145" i="535"/>
  <c r="Q146" i="535" l="1"/>
  <c r="A145" i="535"/>
  <c r="A146" i="535" l="1"/>
  <c r="Q147" i="535"/>
  <c r="Q148" i="535" l="1"/>
  <c r="A147" i="535"/>
  <c r="A148" i="535" l="1"/>
  <c r="Q149" i="535"/>
  <c r="Q150" i="535" l="1"/>
  <c r="A149" i="535"/>
  <c r="A150" i="535" l="1"/>
  <c r="Q151" i="535"/>
  <c r="Q152" i="535" l="1"/>
  <c r="A151" i="535"/>
  <c r="A152" i="535" l="1"/>
  <c r="Q153" i="535"/>
  <c r="Q154" i="535" l="1"/>
  <c r="A153" i="535"/>
  <c r="A154" i="535" l="1"/>
  <c r="Q155" i="535"/>
  <c r="Q156" i="535" l="1"/>
  <c r="A155" i="535"/>
  <c r="A156" i="535" l="1"/>
  <c r="Q157" i="535"/>
  <c r="Q158" i="535" l="1"/>
  <c r="A157" i="535"/>
  <c r="A158" i="535" l="1"/>
  <c r="Q159" i="535"/>
  <c r="A159" i="535" l="1"/>
  <c r="Q160" i="535"/>
  <c r="Q161" i="535" l="1"/>
  <c r="A160" i="535"/>
  <c r="Q162" i="535" l="1"/>
  <c r="A161" i="535"/>
  <c r="A162" i="535" l="1"/>
  <c r="Q163" i="535"/>
  <c r="Q164" i="535" l="1"/>
  <c r="A163" i="535"/>
  <c r="A164" i="535" l="1"/>
  <c r="Q165" i="535"/>
  <c r="Q166" i="535" l="1"/>
  <c r="A165" i="535"/>
  <c r="A166" i="535" l="1"/>
  <c r="Q167" i="535"/>
  <c r="Q168" i="535" l="1"/>
  <c r="A167" i="535"/>
  <c r="A168" i="535" l="1"/>
  <c r="Q169" i="535"/>
  <c r="A169" i="535" l="1"/>
  <c r="Q170" i="535"/>
  <c r="Q171" i="535" l="1"/>
  <c r="A170" i="535"/>
  <c r="A171" i="535" l="1"/>
  <c r="Q172" i="535"/>
  <c r="Q173" i="535" l="1"/>
  <c r="A172" i="535"/>
  <c r="Q174" i="535" l="1"/>
  <c r="A173" i="535"/>
  <c r="A174" i="535" l="1"/>
  <c r="Q175" i="535"/>
  <c r="Q176" i="535" l="1"/>
  <c r="A175" i="535"/>
  <c r="Q177" i="535" l="1"/>
  <c r="A176" i="535"/>
  <c r="A177" i="535" l="1"/>
  <c r="Q178" i="535"/>
  <c r="Q179" i="535" l="1"/>
  <c r="A178" i="535"/>
  <c r="B20" i="8"/>
  <c r="A179" i="535" l="1"/>
  <c r="Q180" i="535"/>
  <c r="Q181" i="535" l="1"/>
  <c r="A180" i="535"/>
  <c r="A181" i="535" l="1"/>
  <c r="Q182" i="535"/>
  <c r="Q183" i="535" l="1"/>
  <c r="A182" i="535"/>
  <c r="A183" i="535" l="1"/>
  <c r="Q184" i="535"/>
  <c r="Q185" i="535" l="1"/>
  <c r="A184" i="535"/>
  <c r="A185" i="535" l="1"/>
  <c r="Q186" i="535"/>
  <c r="Q187" i="535" l="1"/>
  <c r="A186" i="535"/>
  <c r="A187" i="535" l="1"/>
  <c r="Q188" i="535"/>
  <c r="Q189" i="535" l="1"/>
  <c r="A188" i="535"/>
  <c r="A189" i="535" l="1"/>
  <c r="Q190" i="535"/>
  <c r="Q191" i="535" l="1"/>
  <c r="A190" i="535"/>
  <c r="A191" i="535" l="1"/>
  <c r="Q192" i="535"/>
  <c r="Q193" i="535" l="1"/>
  <c r="A192" i="535"/>
  <c r="A193" i="535" l="1"/>
  <c r="Q194" i="535"/>
  <c r="Q195" i="535" l="1"/>
  <c r="A194" i="535"/>
  <c r="A195" i="535" l="1"/>
  <c r="Q196" i="535"/>
  <c r="Q197" i="535" l="1"/>
  <c r="A196" i="535"/>
  <c r="A197" i="535" l="1"/>
  <c r="Q198" i="535"/>
  <c r="Q199" i="535" l="1"/>
  <c r="A198" i="535"/>
  <c r="A199" i="535" l="1"/>
  <c r="Q200" i="535"/>
  <c r="Q201" i="535" l="1"/>
  <c r="A200" i="535"/>
  <c r="A201" i="535" l="1"/>
  <c r="Q202" i="535"/>
  <c r="Q203" i="535" l="1"/>
  <c r="A202" i="535"/>
  <c r="A203" i="535" l="1"/>
  <c r="Q204" i="535"/>
  <c r="Q205" i="535" l="1"/>
  <c r="A204" i="535"/>
  <c r="A205" i="535" l="1"/>
  <c r="Q206" i="535"/>
  <c r="Q207" i="535" l="1"/>
  <c r="A206" i="535"/>
  <c r="A207" i="535" l="1"/>
  <c r="Q208" i="535"/>
  <c r="Q209" i="535" l="1"/>
  <c r="A208" i="535"/>
  <c r="A209" i="535" l="1"/>
  <c r="B4" i="377" l="1"/>
  <c r="B5" i="377" s="1"/>
  <c r="B6" i="377" s="1"/>
  <c r="B7" i="377" s="1"/>
  <c r="B20" i="45" l="1"/>
  <c r="B6" i="376"/>
  <c r="B9" i="376" s="1"/>
  <c r="B10" i="376" s="1"/>
  <c r="K9" i="366" l="1"/>
  <c r="K8" i="366"/>
  <c r="K10" i="366" s="1"/>
  <c r="K15" i="366" l="1"/>
  <c r="K12" i="366"/>
  <c r="K13" i="366" s="1"/>
  <c r="C38" i="368"/>
  <c r="B38" i="368"/>
  <c r="A38" i="368"/>
  <c r="A37" i="368"/>
  <c r="C27" i="368"/>
  <c r="C28" i="368" s="1"/>
  <c r="C29" i="368" s="1"/>
  <c r="C30" i="368" s="1"/>
  <c r="C31" i="368" s="1"/>
  <c r="C32" i="368" s="1"/>
  <c r="G6" i="368"/>
  <c r="F7" i="368" s="1"/>
  <c r="E6" i="368"/>
  <c r="C6" i="368"/>
  <c r="C7" i="368" s="1"/>
  <c r="C8" i="368" s="1"/>
  <c r="C9" i="368" s="1"/>
  <c r="C10" i="368" s="1"/>
  <c r="C11" i="368" s="1"/>
  <c r="C12" i="368" s="1"/>
  <c r="E5" i="368"/>
  <c r="H12" i="366"/>
  <c r="H15" i="366" s="1"/>
  <c r="H6" i="366"/>
  <c r="H9" i="366" s="1"/>
  <c r="E24" i="366"/>
  <c r="E17" i="366"/>
  <c r="E14" i="366"/>
  <c r="E21" i="366" s="1"/>
  <c r="E8" i="366"/>
  <c r="E15" i="366" s="1"/>
  <c r="E22" i="366" s="1"/>
  <c r="B14" i="366"/>
  <c r="B15" i="366"/>
  <c r="B16" i="366"/>
  <c r="B9" i="366"/>
  <c r="B10" i="366" s="1"/>
  <c r="E5" i="365"/>
  <c r="E7" i="365" s="1"/>
  <c r="B5" i="365"/>
  <c r="C10" i="364"/>
  <c r="B6" i="364"/>
  <c r="B7" i="364" s="1"/>
  <c r="B17" i="366" l="1"/>
  <c r="B19" i="366" s="1"/>
  <c r="B20" i="366" s="1"/>
  <c r="E10" i="366"/>
  <c r="E11" i="366" s="1"/>
  <c r="E25" i="366"/>
  <c r="G7" i="368"/>
  <c r="F8" i="368" s="1"/>
  <c r="E18" i="366"/>
  <c r="E7" i="368"/>
  <c r="B39" i="368"/>
  <c r="E26" i="366"/>
  <c r="E19" i="366"/>
  <c r="E8" i="365"/>
  <c r="B7" i="365"/>
  <c r="A39" i="368"/>
  <c r="E8" i="368" l="1"/>
  <c r="G8" i="368"/>
  <c r="F9" i="368" s="1"/>
  <c r="C39" i="368"/>
  <c r="G9" i="368" l="1"/>
  <c r="F10" i="368" s="1"/>
  <c r="E9" i="368"/>
  <c r="B40" i="368"/>
  <c r="A40" i="368"/>
  <c r="E10" i="368" l="1"/>
  <c r="G10" i="368"/>
  <c r="F11" i="368" s="1"/>
  <c r="G11" i="368" s="1"/>
  <c r="C40" i="368"/>
  <c r="B41" i="368" l="1"/>
  <c r="C41" i="368"/>
  <c r="C42" i="368" s="1"/>
  <c r="E11" i="368"/>
  <c r="E12" i="368" s="1"/>
  <c r="F12" i="368"/>
  <c r="G12" i="368"/>
  <c r="A41" i="368"/>
  <c r="B42" i="368" l="1"/>
  <c r="E13" i="368"/>
  <c r="F13" i="368"/>
  <c r="G13" i="368" s="1"/>
  <c r="A42" i="368"/>
  <c r="B43" i="368" l="1"/>
  <c r="F14" i="368"/>
  <c r="G14" i="368" s="1"/>
  <c r="E14" i="368"/>
  <c r="E15" i="368" l="1"/>
  <c r="G15" i="368"/>
  <c r="F15" i="368"/>
  <c r="C43" i="368"/>
  <c r="A43" i="368"/>
  <c r="B44" i="368" l="1"/>
  <c r="C44" i="368"/>
  <c r="F16" i="368"/>
  <c r="G16" i="368"/>
  <c r="E16" i="368"/>
  <c r="A44" i="368"/>
  <c r="B45" i="368" l="1"/>
  <c r="G17" i="368"/>
  <c r="E17" i="368"/>
  <c r="F17" i="368"/>
  <c r="F18" i="368" l="1"/>
  <c r="G18" i="368" s="1"/>
  <c r="E18" i="368"/>
  <c r="C45" i="368"/>
  <c r="A45" i="368"/>
  <c r="B46" i="368" l="1"/>
  <c r="E19" i="368"/>
  <c r="G19" i="368"/>
  <c r="F19" i="368"/>
  <c r="A46" i="368"/>
  <c r="F20" i="368" l="1"/>
  <c r="G20" i="368"/>
  <c r="E20" i="368"/>
  <c r="C46" i="368"/>
  <c r="B47" i="368" l="1"/>
  <c r="C47" i="368"/>
  <c r="A47" i="368"/>
  <c r="B48" i="368" l="1"/>
  <c r="C48" i="368"/>
  <c r="A48" i="368"/>
  <c r="C49" i="368" l="1"/>
  <c r="B49" i="368"/>
  <c r="A49" i="368"/>
  <c r="B50" i="368" l="1"/>
  <c r="B11" i="363"/>
  <c r="B5" i="363"/>
  <c r="B6" i="363" s="1"/>
  <c r="B7" i="363" s="1"/>
  <c r="E7" i="307"/>
  <c r="A12" i="363"/>
  <c r="A13" i="363" s="1"/>
  <c r="B32" i="319"/>
  <c r="A50" i="368"/>
  <c r="E8" i="307" l="1"/>
  <c r="E9" i="307" s="1"/>
  <c r="E11" i="307" s="1"/>
  <c r="C13" i="363"/>
  <c r="B13" i="363"/>
  <c r="J9" i="7"/>
  <c r="K8" i="7" s="1"/>
  <c r="E13" i="307"/>
  <c r="B12" i="363"/>
  <c r="C11" i="363"/>
  <c r="C12" i="363"/>
  <c r="A14" i="363"/>
  <c r="C50" i="368"/>
  <c r="C51" i="368" l="1"/>
  <c r="C52" i="368" s="1"/>
  <c r="B51" i="368"/>
  <c r="K6" i="7"/>
  <c r="K4" i="7"/>
  <c r="K5" i="7"/>
  <c r="K7" i="7"/>
  <c r="C14" i="363"/>
  <c r="B14" i="363"/>
  <c r="A15" i="363"/>
  <c r="A16" i="363" s="1"/>
  <c r="A51" i="368"/>
  <c r="B52" i="368" l="1"/>
  <c r="C16" i="363"/>
  <c r="B16" i="363"/>
  <c r="B15" i="363"/>
  <c r="C15" i="363"/>
  <c r="A17" i="363"/>
  <c r="A52" i="368"/>
  <c r="C17" i="363" l="1"/>
  <c r="B17" i="363"/>
  <c r="A18" i="363"/>
  <c r="C18" i="363" l="1"/>
  <c r="B18" i="363"/>
  <c r="A19" i="363"/>
  <c r="B19" i="363" l="1"/>
  <c r="C19" i="363"/>
  <c r="A20" i="363"/>
  <c r="C20" i="363" l="1"/>
  <c r="B20" i="363"/>
  <c r="A21" i="363"/>
  <c r="C21" i="363" l="1"/>
  <c r="B21" i="363"/>
  <c r="A22" i="363"/>
  <c r="C22" i="363" l="1"/>
  <c r="B22" i="363"/>
  <c r="A23" i="363"/>
  <c r="B23" i="363" l="1"/>
  <c r="C23" i="363"/>
  <c r="A24" i="363"/>
  <c r="C24" i="363" l="1"/>
  <c r="B24" i="363"/>
  <c r="A25" i="363"/>
  <c r="C25" i="363" l="1"/>
  <c r="B25" i="363"/>
  <c r="A26" i="363"/>
  <c r="B26" i="363" l="1"/>
  <c r="C26" i="363"/>
  <c r="A27" i="363"/>
  <c r="B27" i="363" l="1"/>
  <c r="C27" i="363"/>
  <c r="A28" i="363"/>
  <c r="C28" i="363" l="1"/>
  <c r="B28" i="363"/>
  <c r="A29" i="363"/>
  <c r="C29" i="363" l="1"/>
  <c r="B29" i="363"/>
  <c r="A30" i="363"/>
  <c r="C30" i="363" l="1"/>
  <c r="B30" i="363"/>
  <c r="A31" i="363"/>
  <c r="B31" i="363" l="1"/>
  <c r="C31" i="363"/>
  <c r="K7" i="343" l="1"/>
  <c r="B8" i="343"/>
  <c r="C8" i="343"/>
  <c r="H8" i="343" s="1"/>
  <c r="G13" i="343"/>
  <c r="G16" i="343" s="1"/>
  <c r="D7" i="343"/>
  <c r="I7" i="343" s="1"/>
  <c r="D6" i="343"/>
  <c r="I6" i="343" s="1"/>
  <c r="G8" i="343" l="1"/>
  <c r="K8" i="343"/>
  <c r="D8" i="343"/>
  <c r="O7" i="343" s="1"/>
  <c r="L6" i="343" l="1"/>
  <c r="M6" i="343" s="1"/>
  <c r="K9" i="343"/>
  <c r="O8" i="343"/>
  <c r="L7" i="343"/>
  <c r="O6" i="343"/>
  <c r="L8" i="343"/>
  <c r="I8" i="343"/>
  <c r="G6" i="343" s="1"/>
  <c r="B13" i="343" s="1"/>
  <c r="B5" i="334"/>
  <c r="C5" i="334" s="1"/>
  <c r="D5" i="334" s="1"/>
  <c r="B6" i="334"/>
  <c r="C6" i="334" s="1"/>
  <c r="D6" i="334" s="1"/>
  <c r="B7" i="334"/>
  <c r="C7" i="334" s="1"/>
  <c r="D7" i="334" s="1"/>
  <c r="B8" i="334"/>
  <c r="C8" i="334" s="1"/>
  <c r="D8" i="334" s="1"/>
  <c r="B9" i="334"/>
  <c r="C9" i="334" s="1"/>
  <c r="D9" i="334" s="1"/>
  <c r="B10" i="334"/>
  <c r="C10" i="334" s="1"/>
  <c r="D10" i="334" s="1"/>
  <c r="B11" i="334"/>
  <c r="C11" i="334" s="1"/>
  <c r="D11" i="334" s="1"/>
  <c r="B12" i="334"/>
  <c r="C12" i="334" s="1"/>
  <c r="D12" i="334" s="1"/>
  <c r="B13" i="334"/>
  <c r="C13" i="334" s="1"/>
  <c r="D13" i="334" s="1"/>
  <c r="B14" i="334"/>
  <c r="C14" i="334" s="1"/>
  <c r="D14" i="334" s="1"/>
  <c r="B15" i="334"/>
  <c r="C15" i="334" s="1"/>
  <c r="D15" i="334" s="1"/>
  <c r="B16" i="334"/>
  <c r="C16" i="334" s="1"/>
  <c r="D16" i="334" s="1"/>
  <c r="B17" i="334"/>
  <c r="C17" i="334" s="1"/>
  <c r="D17" i="334" s="1"/>
  <c r="B18" i="334"/>
  <c r="C18" i="334" s="1"/>
  <c r="D18" i="334" s="1"/>
  <c r="B19" i="334"/>
  <c r="C19" i="334" s="1"/>
  <c r="D19" i="334" s="1"/>
  <c r="B20" i="334"/>
  <c r="C20" i="334" s="1"/>
  <c r="D20" i="334" s="1"/>
  <c r="B21" i="334"/>
  <c r="C21" i="334" s="1"/>
  <c r="D21" i="334" s="1"/>
  <c r="B22" i="334"/>
  <c r="C22" i="334" s="1"/>
  <c r="D22" i="334" s="1"/>
  <c r="B23" i="334"/>
  <c r="C23" i="334" s="1"/>
  <c r="D23" i="334" s="1"/>
  <c r="B24" i="334"/>
  <c r="C24" i="334" s="1"/>
  <c r="D24" i="334" s="1"/>
  <c r="B25" i="334"/>
  <c r="C25" i="334" s="1"/>
  <c r="D25" i="334" s="1"/>
  <c r="B26" i="334"/>
  <c r="C26" i="334" s="1"/>
  <c r="D26" i="334" s="1"/>
  <c r="B27" i="334"/>
  <c r="C27" i="334" s="1"/>
  <c r="D27" i="334" s="1"/>
  <c r="B28" i="334"/>
  <c r="C28" i="334" s="1"/>
  <c r="D28" i="334" s="1"/>
  <c r="B4" i="334"/>
  <c r="C4" i="334" s="1"/>
  <c r="D4" i="334" s="1"/>
  <c r="A5" i="334"/>
  <c r="A6" i="334" s="1"/>
  <c r="A7" i="334" s="1"/>
  <c r="A8" i="334" s="1"/>
  <c r="A9" i="334" s="1"/>
  <c r="A10" i="334" s="1"/>
  <c r="A11" i="334" s="1"/>
  <c r="A12" i="334" s="1"/>
  <c r="A13" i="334" s="1"/>
  <c r="A14" i="334" s="1"/>
  <c r="A15" i="334" s="1"/>
  <c r="A16" i="334" s="1"/>
  <c r="A17" i="334" s="1"/>
  <c r="A18" i="334" s="1"/>
  <c r="A19" i="334" s="1"/>
  <c r="A20" i="334" s="1"/>
  <c r="A21" i="334" s="1"/>
  <c r="A22" i="334" s="1"/>
  <c r="A23" i="334" s="1"/>
  <c r="A24" i="334" s="1"/>
  <c r="A25" i="334" s="1"/>
  <c r="A26" i="334" s="1"/>
  <c r="A27" i="334" s="1"/>
  <c r="A28" i="334" s="1"/>
  <c r="F5" i="330"/>
  <c r="F6" i="330"/>
  <c r="F7" i="330"/>
  <c r="F8" i="330"/>
  <c r="F9" i="330"/>
  <c r="F4" i="330"/>
  <c r="M7" i="343" l="1"/>
  <c r="M8" i="343" s="1"/>
  <c r="K10" i="343"/>
  <c r="O9" i="343"/>
  <c r="L9" i="343"/>
  <c r="L17" i="343"/>
  <c r="H7" i="343"/>
  <c r="C14" i="343" s="1"/>
  <c r="H6" i="343"/>
  <c r="C13" i="343" s="1"/>
  <c r="D13" i="343" s="1"/>
  <c r="G7" i="343"/>
  <c r="B14" i="343" s="1"/>
  <c r="L20" i="343" l="1"/>
  <c r="M9" i="343"/>
  <c r="K11" i="343"/>
  <c r="O10" i="343"/>
  <c r="L10" i="343"/>
  <c r="D14" i="343"/>
  <c r="D15" i="343" s="1"/>
  <c r="G14" i="343" s="1"/>
  <c r="G15" i="343" s="1"/>
  <c r="G17" i="343" s="1"/>
  <c r="M10" i="343" l="1"/>
  <c r="O11" i="343"/>
  <c r="K12" i="343"/>
  <c r="L11" i="343"/>
  <c r="M11" i="343" l="1"/>
  <c r="K13" i="343"/>
  <c r="O12" i="343"/>
  <c r="L12" i="343"/>
  <c r="M12" i="343" l="1"/>
  <c r="K14" i="343"/>
  <c r="O13" i="343"/>
  <c r="L13" i="343"/>
  <c r="M13" i="343" l="1"/>
  <c r="L21" i="343" s="1"/>
  <c r="L14" i="343"/>
  <c r="O14" i="343"/>
  <c r="K15" i="343"/>
  <c r="M14" i="343" l="1"/>
  <c r="L15" i="343"/>
  <c r="L18" i="343" s="1"/>
  <c r="O15" i="343"/>
  <c r="M15" i="343" l="1"/>
  <c r="B29" i="333" l="1"/>
  <c r="B33" i="333" s="1"/>
  <c r="B28" i="333"/>
  <c r="B32" i="333" s="1"/>
  <c r="B12" i="333"/>
  <c r="B16" i="333" s="1"/>
  <c r="B11" i="333"/>
  <c r="B15" i="333" s="1"/>
  <c r="CV54" i="332"/>
  <c r="CU54" i="332"/>
  <c r="CT54" i="332"/>
  <c r="CS54" i="332"/>
  <c r="CR54" i="332"/>
  <c r="CQ54" i="332"/>
  <c r="CP54" i="332"/>
  <c r="CO54" i="332"/>
  <c r="CN54" i="332"/>
  <c r="CM54" i="332"/>
  <c r="CL54" i="332"/>
  <c r="CK54" i="332"/>
  <c r="CJ54" i="332"/>
  <c r="CI54" i="332"/>
  <c r="CH54" i="332"/>
  <c r="CG54" i="332"/>
  <c r="CF54" i="332"/>
  <c r="CE54" i="332"/>
  <c r="CD54" i="332"/>
  <c r="CC54" i="332"/>
  <c r="CB54" i="332"/>
  <c r="CA54" i="332"/>
  <c r="BZ54" i="332"/>
  <c r="BY54" i="332"/>
  <c r="BX54" i="332"/>
  <c r="BW54" i="332"/>
  <c r="BV54" i="332"/>
  <c r="BU54" i="332"/>
  <c r="BT54" i="332"/>
  <c r="BS54" i="332"/>
  <c r="BR54" i="332"/>
  <c r="BQ54" i="332"/>
  <c r="BP54" i="332"/>
  <c r="BO54" i="332"/>
  <c r="BN54" i="332"/>
  <c r="BM54" i="332"/>
  <c r="BL54" i="332"/>
  <c r="BK54" i="332"/>
  <c r="BJ54" i="332"/>
  <c r="BI54" i="332"/>
  <c r="BH54" i="332"/>
  <c r="BG54" i="332"/>
  <c r="BF54" i="332"/>
  <c r="BE54" i="332"/>
  <c r="BD54" i="332"/>
  <c r="BC54" i="332"/>
  <c r="BB54" i="332"/>
  <c r="BA54" i="332"/>
  <c r="AZ54" i="332"/>
  <c r="AY54" i="332"/>
  <c r="AX54" i="332"/>
  <c r="AW54" i="332"/>
  <c r="AV54" i="332"/>
  <c r="AU54" i="332"/>
  <c r="AT54" i="332"/>
  <c r="AS54" i="332"/>
  <c r="AR54" i="332"/>
  <c r="AQ54" i="332"/>
  <c r="AP54" i="332"/>
  <c r="AO54" i="332"/>
  <c r="AN54" i="332"/>
  <c r="AM54" i="332"/>
  <c r="AL54" i="332"/>
  <c r="AK54" i="332"/>
  <c r="AJ54" i="332"/>
  <c r="AI54" i="332"/>
  <c r="AH54" i="332"/>
  <c r="AG54" i="332"/>
  <c r="AF54" i="332"/>
  <c r="AE54" i="332"/>
  <c r="AD54" i="332"/>
  <c r="AC54" i="332"/>
  <c r="AB54" i="332"/>
  <c r="AA54" i="332"/>
  <c r="Z54" i="332"/>
  <c r="Y54" i="332"/>
  <c r="X54" i="332"/>
  <c r="W54" i="332"/>
  <c r="V54" i="332"/>
  <c r="U54" i="332"/>
  <c r="T54" i="332"/>
  <c r="S54" i="332"/>
  <c r="R54" i="332"/>
  <c r="Q54" i="332"/>
  <c r="P54" i="332"/>
  <c r="O54" i="332"/>
  <c r="N54" i="332"/>
  <c r="M54" i="332"/>
  <c r="L54" i="332"/>
  <c r="K54" i="332"/>
  <c r="J54" i="332"/>
  <c r="I54" i="332"/>
  <c r="H54" i="332"/>
  <c r="G54" i="332"/>
  <c r="F54" i="332"/>
  <c r="E54" i="332"/>
  <c r="D54" i="332"/>
  <c r="C54" i="332"/>
  <c r="B54" i="332"/>
  <c r="A54" i="332"/>
  <c r="CV54" i="331"/>
  <c r="CU54" i="331"/>
  <c r="CT54" i="331"/>
  <c r="CS54" i="331"/>
  <c r="CR54" i="331"/>
  <c r="CQ54" i="331"/>
  <c r="CP54" i="331"/>
  <c r="CO54" i="331"/>
  <c r="CN54" i="331"/>
  <c r="CM54" i="331"/>
  <c r="CL54" i="331"/>
  <c r="CK54" i="331"/>
  <c r="CJ54" i="331"/>
  <c r="CI54" i="331"/>
  <c r="CH54" i="331"/>
  <c r="CG54" i="331"/>
  <c r="CF54" i="331"/>
  <c r="CE54" i="331"/>
  <c r="CD54" i="331"/>
  <c r="CC54" i="331"/>
  <c r="CB54" i="331"/>
  <c r="CA54" i="331"/>
  <c r="BZ54" i="331"/>
  <c r="BY54" i="331"/>
  <c r="BX54" i="331"/>
  <c r="BW54" i="331"/>
  <c r="BV54" i="331"/>
  <c r="BU54" i="331"/>
  <c r="BT54" i="331"/>
  <c r="BS54" i="331"/>
  <c r="BR54" i="331"/>
  <c r="BQ54" i="331"/>
  <c r="BP54" i="331"/>
  <c r="BO54" i="331"/>
  <c r="BN54" i="331"/>
  <c r="BM54" i="331"/>
  <c r="BL54" i="331"/>
  <c r="BK54" i="331"/>
  <c r="BJ54" i="331"/>
  <c r="BI54" i="331"/>
  <c r="BH54" i="331"/>
  <c r="BG54" i="331"/>
  <c r="BF54" i="331"/>
  <c r="BE54" i="331"/>
  <c r="BD54" i="331"/>
  <c r="BC54" i="331"/>
  <c r="BB54" i="331"/>
  <c r="BA54" i="331"/>
  <c r="AZ54" i="331"/>
  <c r="AY54" i="331"/>
  <c r="AX54" i="331"/>
  <c r="AW54" i="331"/>
  <c r="AV54" i="331"/>
  <c r="AU54" i="331"/>
  <c r="AT54" i="331"/>
  <c r="AS54" i="331"/>
  <c r="AR54" i="331"/>
  <c r="AQ54" i="331"/>
  <c r="AP54" i="331"/>
  <c r="AO54" i="331"/>
  <c r="AN54" i="331"/>
  <c r="AM54" i="331"/>
  <c r="AL54" i="331"/>
  <c r="AK54" i="331"/>
  <c r="AJ54" i="331"/>
  <c r="AI54" i="331"/>
  <c r="AH54" i="331"/>
  <c r="AG54" i="331"/>
  <c r="AF54" i="331"/>
  <c r="AE54" i="331"/>
  <c r="AD54" i="331"/>
  <c r="AC54" i="331"/>
  <c r="AB54" i="331"/>
  <c r="AA54" i="331"/>
  <c r="Z54" i="331"/>
  <c r="Y54" i="331"/>
  <c r="X54" i="331"/>
  <c r="W54" i="331"/>
  <c r="V54" i="331"/>
  <c r="U54" i="331"/>
  <c r="T54" i="331"/>
  <c r="S54" i="331"/>
  <c r="R54" i="331"/>
  <c r="Q54" i="331"/>
  <c r="P54" i="331"/>
  <c r="O54" i="331"/>
  <c r="N54" i="331"/>
  <c r="M54" i="331"/>
  <c r="L54" i="331"/>
  <c r="K54" i="331"/>
  <c r="J54" i="331"/>
  <c r="I54" i="331"/>
  <c r="H54" i="331"/>
  <c r="G54" i="331"/>
  <c r="F54" i="331"/>
  <c r="E54" i="331"/>
  <c r="D54" i="331"/>
  <c r="C54" i="331"/>
  <c r="B54" i="331"/>
  <c r="A54" i="331"/>
  <c r="B4" i="330"/>
  <c r="B23" i="330"/>
  <c r="B22" i="330"/>
  <c r="B21" i="330"/>
  <c r="B20" i="330"/>
  <c r="B19" i="330"/>
  <c r="B18" i="330"/>
  <c r="B17" i="330"/>
  <c r="B16" i="330"/>
  <c r="B15" i="330"/>
  <c r="B14" i="330"/>
  <c r="B13" i="330"/>
  <c r="B12" i="330"/>
  <c r="B11" i="330"/>
  <c r="B10" i="330"/>
  <c r="B9" i="330"/>
  <c r="B8" i="330"/>
  <c r="B7" i="330"/>
  <c r="B6" i="330"/>
  <c r="B5" i="330"/>
  <c r="O3" i="333" l="1" a="1"/>
  <c r="O6" i="333" s="1"/>
  <c r="B25" i="333"/>
  <c r="B24" i="333"/>
  <c r="B8" i="333"/>
  <c r="B7" i="333"/>
  <c r="C7" i="330"/>
  <c r="C6" i="330"/>
  <c r="C8" i="330"/>
  <c r="C9" i="330"/>
  <c r="C5" i="330"/>
  <c r="C4" i="330"/>
  <c r="O59" i="333" l="1"/>
  <c r="O9" i="333"/>
  <c r="O18" i="333"/>
  <c r="O31" i="333"/>
  <c r="O78" i="333"/>
  <c r="O12" i="333"/>
  <c r="O69" i="333"/>
  <c r="O29" i="333"/>
  <c r="O21" i="333"/>
  <c r="O23" i="333"/>
  <c r="O48" i="333"/>
  <c r="O84" i="333"/>
  <c r="O74" i="333"/>
  <c r="O91" i="333"/>
  <c r="O39" i="333"/>
  <c r="O50" i="333"/>
  <c r="O101" i="333"/>
  <c r="O49" i="333"/>
  <c r="O47" i="333"/>
  <c r="O25" i="333"/>
  <c r="O3" i="333"/>
  <c r="O64" i="333"/>
  <c r="O68" i="333"/>
  <c r="O75" i="333"/>
  <c r="O54" i="333"/>
  <c r="O89" i="333"/>
  <c r="O67" i="333"/>
  <c r="O34" i="333"/>
  <c r="O53" i="333"/>
  <c r="O100" i="333"/>
  <c r="O40" i="333"/>
  <c r="O55" i="333"/>
  <c r="O70" i="333"/>
  <c r="O44" i="333"/>
  <c r="O10" i="333"/>
  <c r="O83" i="333"/>
  <c r="O61" i="333"/>
  <c r="O66" i="333"/>
  <c r="O24" i="333"/>
  <c r="O14" i="333"/>
  <c r="O71" i="333"/>
  <c r="O33" i="333"/>
  <c r="O11" i="333"/>
  <c r="O72" i="333"/>
  <c r="O30" i="333"/>
  <c r="O20" i="333"/>
  <c r="O81" i="333"/>
  <c r="O86" i="333"/>
  <c r="O79" i="333"/>
  <c r="O60" i="333"/>
  <c r="O41" i="333"/>
  <c r="O42" i="333"/>
  <c r="O19" i="333"/>
  <c r="O99" i="333"/>
  <c r="O96" i="333"/>
  <c r="O77" i="333"/>
  <c r="O98" i="333"/>
  <c r="O88" i="333"/>
  <c r="O46" i="333"/>
  <c r="O4" i="333"/>
  <c r="O97" i="333"/>
  <c r="O43" i="333"/>
  <c r="O5" i="333"/>
  <c r="O94" i="333"/>
  <c r="O52" i="333"/>
  <c r="O22" i="333"/>
  <c r="O15" i="333"/>
  <c r="O95" i="333"/>
  <c r="O76" i="333"/>
  <c r="O73" i="333"/>
  <c r="O58" i="333"/>
  <c r="O35" i="333"/>
  <c r="O32" i="333"/>
  <c r="O13" i="333"/>
  <c r="O93" i="333"/>
  <c r="O27" i="333"/>
  <c r="O56" i="333"/>
  <c r="O85" i="333"/>
  <c r="O7" i="333"/>
  <c r="O36" i="333"/>
  <c r="O65" i="333"/>
  <c r="O82" i="333"/>
  <c r="O8" i="333"/>
  <c r="O37" i="333"/>
  <c r="O62" i="333"/>
  <c r="O87" i="333"/>
  <c r="O17" i="333"/>
  <c r="O38" i="333"/>
  <c r="O102" i="333"/>
  <c r="O63" i="333"/>
  <c r="O28" i="333"/>
  <c r="O92" i="333"/>
  <c r="O57" i="333"/>
  <c r="O26" i="333"/>
  <c r="O90" i="333"/>
  <c r="O51" i="333"/>
  <c r="O16" i="333"/>
  <c r="O80" i="333"/>
  <c r="O45" i="333"/>
  <c r="I7" i="325"/>
  <c r="J5" i="325"/>
  <c r="I5" i="325"/>
  <c r="J4" i="325"/>
  <c r="I4" i="325"/>
  <c r="I9" i="325" l="1"/>
  <c r="I10" i="325" s="1"/>
  <c r="I11" i="325" s="1"/>
  <c r="I12" i="325" l="1"/>
  <c r="I14" i="325" s="1"/>
  <c r="I7" i="320"/>
  <c r="I5" i="320"/>
  <c r="I13" i="320" s="1"/>
  <c r="H28" i="319"/>
  <c r="F28" i="319"/>
  <c r="H18" i="319"/>
  <c r="H10" i="319"/>
  <c r="H13" i="319" s="1"/>
  <c r="F18" i="319"/>
  <c r="F10" i="319"/>
  <c r="F12" i="319" s="1"/>
  <c r="F14" i="319" s="1"/>
  <c r="D18" i="319"/>
  <c r="D10" i="319"/>
  <c r="D12" i="319" s="1"/>
  <c r="D14" i="319" s="1"/>
  <c r="B18" i="319"/>
  <c r="B10" i="319"/>
  <c r="B12" i="319" s="1"/>
  <c r="B14" i="319" s="1"/>
  <c r="B16" i="319" l="1"/>
  <c r="B19" i="319" s="1"/>
  <c r="I15" i="320"/>
  <c r="B13" i="319"/>
  <c r="F23" i="319"/>
  <c r="F25" i="319" s="1"/>
  <c r="F13" i="319"/>
  <c r="I9" i="320"/>
  <c r="I10" i="320" s="1"/>
  <c r="D13" i="319"/>
  <c r="H23" i="319"/>
  <c r="H25" i="319" s="1"/>
  <c r="H16" i="319"/>
  <c r="H12" i="319"/>
  <c r="H14" i="319" s="1"/>
  <c r="F16" i="319"/>
  <c r="F17" i="319" s="1"/>
  <c r="D16" i="319"/>
  <c r="D3" i="318"/>
  <c r="D6" i="318" s="1"/>
  <c r="B6" i="318"/>
  <c r="F24" i="319" l="1"/>
  <c r="I14" i="320"/>
  <c r="B17" i="319"/>
  <c r="H24" i="319"/>
  <c r="E3" i="318"/>
  <c r="D19" i="319"/>
  <c r="D17" i="319"/>
  <c r="H17" i="319"/>
  <c r="H19" i="319"/>
  <c r="F19" i="319"/>
  <c r="B14" i="317"/>
  <c r="B15" i="317" s="1"/>
  <c r="B16" i="317" s="1"/>
  <c r="B9" i="317"/>
  <c r="B10" i="317" s="1"/>
  <c r="B9" i="316"/>
  <c r="B8" i="316"/>
  <c r="B7" i="316"/>
  <c r="B11" i="316" s="1"/>
  <c r="B6" i="316"/>
  <c r="B10" i="316" l="1"/>
  <c r="B20" i="316" a="1"/>
  <c r="B20" i="316" s="1"/>
  <c r="B12" i="316"/>
  <c r="B18" i="316"/>
  <c r="E6" i="318"/>
  <c r="F3" i="318"/>
  <c r="B10" i="315"/>
  <c r="B9" i="315"/>
  <c r="A141" i="17"/>
  <c r="C141" i="17" s="1"/>
  <c r="B8" i="307"/>
  <c r="B7" i="307"/>
  <c r="B11" i="307" s="1"/>
  <c r="B13" i="316" l="1"/>
  <c r="B11" i="315"/>
  <c r="G3" i="318"/>
  <c r="G6" i="318" s="1"/>
  <c r="F6" i="318"/>
  <c r="A142" i="17"/>
  <c r="B141" i="17"/>
  <c r="B9" i="307"/>
  <c r="A143" i="17" l="1"/>
  <c r="B142" i="17"/>
  <c r="C142" i="17"/>
  <c r="C143" i="17" l="1"/>
  <c r="B143" i="17"/>
  <c r="A144" i="17"/>
  <c r="A145" i="17" l="1"/>
  <c r="B144" i="17"/>
  <c r="C144" i="17"/>
  <c r="A146" i="17" l="1"/>
  <c r="C145" i="17"/>
  <c r="B145" i="17"/>
  <c r="A147" i="17" l="1"/>
  <c r="B146" i="17"/>
  <c r="C146" i="17"/>
  <c r="A148" i="17" l="1"/>
  <c r="C147" i="17"/>
  <c r="B147" i="17"/>
  <c r="A149" i="17" l="1"/>
  <c r="B148" i="17"/>
  <c r="C148" i="17"/>
  <c r="A150" i="17" l="1"/>
  <c r="B149" i="17"/>
  <c r="C149" i="17"/>
  <c r="C150" i="17" l="1"/>
  <c r="A151" i="17"/>
  <c r="B150" i="17"/>
  <c r="C151" i="17" l="1"/>
  <c r="A152" i="17"/>
  <c r="B151" i="17"/>
  <c r="B152" i="17" l="1"/>
  <c r="A153" i="17"/>
  <c r="C152" i="17"/>
  <c r="C153" i="17" l="1"/>
  <c r="B153" i="17"/>
  <c r="A154" i="17"/>
  <c r="A155" i="17" l="1"/>
  <c r="B154" i="17"/>
  <c r="C154" i="17"/>
  <c r="A156" i="17" l="1"/>
  <c r="C155" i="17"/>
  <c r="B155" i="17"/>
  <c r="B156" i="17" l="1"/>
  <c r="A157" i="17"/>
  <c r="C156" i="17"/>
  <c r="B157" i="17" l="1"/>
  <c r="C157" i="17"/>
  <c r="A158" i="17"/>
  <c r="C158" i="17" l="1"/>
  <c r="A159" i="17"/>
  <c r="B158" i="17"/>
  <c r="C159" i="17" l="1"/>
  <c r="A160" i="17"/>
  <c r="B159" i="17"/>
  <c r="C160" i="17" l="1"/>
  <c r="A161" i="17"/>
  <c r="B160" i="17"/>
  <c r="C161" i="17" l="1"/>
  <c r="B161" i="17"/>
  <c r="A162" i="17"/>
  <c r="A163" i="17" l="1"/>
  <c r="B162" i="17"/>
  <c r="C162" i="17"/>
  <c r="C163" i="17" l="1"/>
  <c r="A164" i="17"/>
  <c r="B163" i="17"/>
  <c r="C164" i="17" l="1"/>
  <c r="A165" i="17"/>
  <c r="B164" i="17"/>
  <c r="C165" i="17" l="1"/>
  <c r="B165" i="17"/>
  <c r="A166" i="17"/>
  <c r="A167" i="17" l="1"/>
  <c r="C166" i="17"/>
  <c r="B166" i="17"/>
  <c r="B167" i="17" l="1"/>
  <c r="C167" i="17"/>
  <c r="A168" i="17"/>
  <c r="A169" i="17" l="1"/>
  <c r="B168" i="17"/>
  <c r="C168" i="17"/>
  <c r="C169" i="17" l="1"/>
  <c r="A170" i="17"/>
  <c r="B169" i="17"/>
  <c r="B170" i="17" l="1"/>
  <c r="A171" i="17"/>
  <c r="C170" i="17"/>
  <c r="A172" i="17" l="1"/>
  <c r="B171" i="17"/>
  <c r="C171" i="17"/>
  <c r="B172" i="17" l="1"/>
  <c r="C172" i="17"/>
  <c r="N25" i="233" l="1"/>
  <c r="P35" i="233"/>
  <c r="O20" i="233"/>
  <c r="B11" i="233"/>
  <c r="B12" i="233" s="1"/>
  <c r="Q35" i="233" l="1"/>
  <c r="R35" i="233" s="1"/>
  <c r="P25" i="233"/>
  <c r="Q25" i="233" s="1"/>
  <c r="P20" i="233"/>
  <c r="Q20" i="233" s="1"/>
  <c r="A18" i="233"/>
  <c r="A19" i="233" s="1"/>
  <c r="A20" i="233" s="1"/>
  <c r="A21" i="233" s="1"/>
  <c r="A22" i="233" s="1"/>
  <c r="A23" i="233" s="1"/>
  <c r="A24" i="233" s="1"/>
  <c r="A25" i="233" s="1"/>
  <c r="A26" i="233" s="1"/>
  <c r="A27" i="233" s="1"/>
  <c r="A28" i="233" s="1"/>
  <c r="A29" i="233" s="1"/>
  <c r="A30" i="233" s="1"/>
  <c r="A31" i="233" s="1"/>
  <c r="B31" i="233" s="1"/>
  <c r="C31" i="233" s="1"/>
  <c r="P30" i="233"/>
  <c r="Q30" i="233" s="1"/>
  <c r="B25" i="233" l="1"/>
  <c r="C25" i="233" s="1"/>
  <c r="B19" i="233"/>
  <c r="C19" i="233" s="1"/>
  <c r="B27" i="233"/>
  <c r="C27" i="233" s="1"/>
  <c r="B18" i="233"/>
  <c r="C18" i="233" s="1"/>
  <c r="B24" i="233"/>
  <c r="C24" i="233" s="1"/>
  <c r="A32" i="233"/>
  <c r="B32" i="233" s="1"/>
  <c r="C32" i="233" s="1"/>
  <c r="B29" i="233"/>
  <c r="C29" i="233" s="1"/>
  <c r="B28" i="233"/>
  <c r="C28" i="233" s="1"/>
  <c r="B22" i="233"/>
  <c r="C22" i="233" s="1"/>
  <c r="B26" i="233"/>
  <c r="C26" i="233" s="1"/>
  <c r="B23" i="233"/>
  <c r="C23" i="233" s="1"/>
  <c r="B21" i="233"/>
  <c r="C21" i="233" s="1"/>
  <c r="B20" i="233"/>
  <c r="C20" i="233" s="1"/>
  <c r="B30" i="233"/>
  <c r="C30" i="233" s="1"/>
  <c r="A33" i="233" l="1"/>
  <c r="A34" i="233" s="1"/>
  <c r="B33" i="233" l="1"/>
  <c r="C33" i="233" s="1"/>
  <c r="B34" i="233"/>
  <c r="C34" i="233" s="1"/>
  <c r="A35" i="233"/>
  <c r="A36" i="233" l="1"/>
  <c r="B35" i="233"/>
  <c r="C35" i="233" s="1"/>
  <c r="A37" i="233" l="1"/>
  <c r="B36" i="233"/>
  <c r="C36" i="233" s="1"/>
  <c r="B37" i="233" l="1"/>
  <c r="C37" i="233" s="1"/>
  <c r="A38" i="233"/>
  <c r="B38" i="233" l="1"/>
  <c r="C38" i="233" s="1"/>
  <c r="A39" i="233"/>
  <c r="B39" i="233" l="1"/>
  <c r="C39" i="233" s="1"/>
  <c r="A40" i="233"/>
  <c r="A41" i="233" l="1"/>
  <c r="B40" i="233"/>
  <c r="C40" i="233" s="1"/>
  <c r="B41" i="233" l="1"/>
  <c r="C41" i="233" s="1"/>
  <c r="A42" i="233"/>
  <c r="B42" i="233" l="1"/>
  <c r="C42" i="233" s="1"/>
  <c r="A43" i="233"/>
  <c r="B43" i="233" l="1"/>
  <c r="C43" i="233" s="1"/>
  <c r="A44" i="233"/>
  <c r="B44" i="233" s="1"/>
  <c r="C44" i="233" s="1"/>
  <c r="F14" i="9" l="1"/>
  <c r="C14" i="9"/>
  <c r="B14" i="9"/>
  <c r="B24" i="8"/>
  <c r="B22" i="8"/>
  <c r="B23" i="8" s="1"/>
  <c r="H6" i="52" l="1"/>
  <c r="H5" i="52"/>
  <c r="F8" i="183"/>
  <c r="F9" i="183" s="1"/>
  <c r="E8" i="183"/>
  <c r="E9" i="183" s="1"/>
  <c r="F7" i="183"/>
  <c r="F6" i="183"/>
  <c r="E6" i="183"/>
  <c r="E10" i="183" l="1"/>
  <c r="E12" i="183" s="1"/>
  <c r="E14" i="183" s="1"/>
  <c r="E13" i="183"/>
  <c r="H7" i="52"/>
  <c r="AY6" i="29" l="1"/>
  <c r="AY3" i="29"/>
  <c r="U7" i="50"/>
  <c r="T7" i="50"/>
  <c r="O9" i="50"/>
  <c r="P9" i="50"/>
  <c r="N9" i="50"/>
  <c r="Q7" i="50"/>
  <c r="Q8" i="50"/>
  <c r="Q6" i="50"/>
  <c r="M6" i="50"/>
  <c r="M7" i="50"/>
  <c r="M8" i="50"/>
  <c r="N5" i="50"/>
  <c r="O5" i="50"/>
  <c r="P5" i="50"/>
  <c r="C7" i="52"/>
  <c r="G6" i="52" s="1"/>
  <c r="B7" i="52"/>
  <c r="G5" i="52" s="1"/>
  <c r="D6" i="52"/>
  <c r="D5" i="52"/>
  <c r="K13" i="50"/>
  <c r="I13" i="50"/>
  <c r="J13" i="50"/>
  <c r="H13" i="50"/>
  <c r="G15" i="50"/>
  <c r="G16" i="50"/>
  <c r="G17" i="50"/>
  <c r="G14" i="50"/>
  <c r="C21" i="50"/>
  <c r="D21" i="50"/>
  <c r="B21" i="50"/>
  <c r="A23" i="50"/>
  <c r="A24" i="50"/>
  <c r="A22" i="50"/>
  <c r="G7" i="50"/>
  <c r="G8" i="50"/>
  <c r="G9" i="50"/>
  <c r="G6" i="50"/>
  <c r="D9" i="50"/>
  <c r="J9" i="50" s="1"/>
  <c r="C9" i="50"/>
  <c r="I9" i="50" s="1"/>
  <c r="B9" i="50"/>
  <c r="H9" i="50" s="1"/>
  <c r="E8" i="50"/>
  <c r="K8" i="50" s="1"/>
  <c r="E7" i="50"/>
  <c r="K7" i="50" s="1"/>
  <c r="E6" i="50"/>
  <c r="K6" i="50" s="1"/>
  <c r="B20" i="49"/>
  <c r="G20" i="49" s="1"/>
  <c r="G19" i="49"/>
  <c r="C8" i="49"/>
  <c r="M8" i="49" s="1"/>
  <c r="B8" i="49"/>
  <c r="G8" i="49" s="1"/>
  <c r="D7" i="49"/>
  <c r="N7" i="49" s="1"/>
  <c r="D6" i="49"/>
  <c r="H4" i="48"/>
  <c r="D5" i="48" s="1"/>
  <c r="D7" i="48" s="1"/>
  <c r="C3" i="48"/>
  <c r="D3" i="48" s="1"/>
  <c r="B12" i="47"/>
  <c r="A5" i="47"/>
  <c r="C4" i="47"/>
  <c r="G10" i="46"/>
  <c r="G8" i="46"/>
  <c r="G6" i="46"/>
  <c r="B8" i="46"/>
  <c r="B6" i="46"/>
  <c r="B10" i="46" s="1"/>
  <c r="B19" i="45"/>
  <c r="C12" i="45"/>
  <c r="B12" i="45"/>
  <c r="A5" i="45"/>
  <c r="A6" i="45" s="1"/>
  <c r="A7" i="45" s="1"/>
  <c r="A8" i="45" s="1"/>
  <c r="A9" i="45" s="1"/>
  <c r="A10" i="45" s="1"/>
  <c r="A11" i="45" s="1"/>
  <c r="Q9" i="50" l="1"/>
  <c r="S7" i="50" s="1"/>
  <c r="V7" i="50"/>
  <c r="V12" i="50" s="1"/>
  <c r="G7" i="52"/>
  <c r="AY4" i="29"/>
  <c r="AY5" i="29" s="1"/>
  <c r="AY8" i="29" s="1"/>
  <c r="AY9" i="29" s="1"/>
  <c r="E3" i="48"/>
  <c r="F3" i="48" s="1"/>
  <c r="G3" i="48" s="1"/>
  <c r="G15" i="46"/>
  <c r="G19" i="46"/>
  <c r="G20" i="46"/>
  <c r="J17" i="50"/>
  <c r="D7" i="52"/>
  <c r="K16" i="50"/>
  <c r="I17" i="50"/>
  <c r="K15" i="50"/>
  <c r="K14" i="50"/>
  <c r="H17" i="50"/>
  <c r="E9" i="50"/>
  <c r="D8" i="49"/>
  <c r="I8" i="49" s="1"/>
  <c r="I6" i="49"/>
  <c r="H8" i="49"/>
  <c r="G23" i="49"/>
  <c r="N6" i="49"/>
  <c r="I7" i="49"/>
  <c r="L8" i="49"/>
  <c r="B23" i="49"/>
  <c r="G5" i="48"/>
  <c r="C5" i="48"/>
  <c r="C7" i="48" s="1"/>
  <c r="F5" i="48"/>
  <c r="F7" i="48" s="1"/>
  <c r="E5" i="48"/>
  <c r="E7" i="48" s="1"/>
  <c r="B5" i="48"/>
  <c r="A6" i="47"/>
  <c r="C5" i="47"/>
  <c r="G12" i="46"/>
  <c r="G13" i="46" s="1"/>
  <c r="G14" i="46" s="1"/>
  <c r="B11" i="46"/>
  <c r="B13" i="46" s="1"/>
  <c r="B12" i="46"/>
  <c r="E4" i="45"/>
  <c r="E6" i="45"/>
  <c r="G6" i="45" s="1"/>
  <c r="E8" i="45"/>
  <c r="G8" i="45" s="1"/>
  <c r="E10" i="45"/>
  <c r="G10" i="45" s="1"/>
  <c r="E5" i="45"/>
  <c r="G5" i="45" s="1"/>
  <c r="E7" i="45"/>
  <c r="G7" i="45" s="1"/>
  <c r="E9" i="45"/>
  <c r="G9" i="45" s="1"/>
  <c r="E11" i="45"/>
  <c r="G11" i="45" s="1"/>
  <c r="K10" i="48" l="1"/>
  <c r="B7" i="48"/>
  <c r="G7" i="48"/>
  <c r="B14" i="46"/>
  <c r="N6" i="50" a="1"/>
  <c r="N7" i="50" s="1"/>
  <c r="V11" i="50"/>
  <c r="K4" i="48"/>
  <c r="K6" i="48" s="1"/>
  <c r="K9" i="50"/>
  <c r="H6" i="50" s="1"/>
  <c r="B22" i="50" s="1"/>
  <c r="K17" i="50"/>
  <c r="H14" i="50" s="1" a="1"/>
  <c r="H6" i="49"/>
  <c r="H15" i="49" s="1"/>
  <c r="G6" i="49"/>
  <c r="G15" i="49" s="1"/>
  <c r="N8" i="49"/>
  <c r="L6" i="49" s="1" a="1"/>
  <c r="H7" i="49"/>
  <c r="G7" i="49"/>
  <c r="H5" i="48"/>
  <c r="C6" i="47"/>
  <c r="A7" i="47"/>
  <c r="G4" i="45"/>
  <c r="G12" i="45" s="1"/>
  <c r="B18" i="45" s="1"/>
  <c r="B15" i="45"/>
  <c r="B16" i="45" s="1"/>
  <c r="E12" i="45"/>
  <c r="H7" i="48" l="1"/>
  <c r="K5" i="48" s="1"/>
  <c r="K7" i="48" s="1"/>
  <c r="K8" i="48" s="1"/>
  <c r="B21" i="45"/>
  <c r="B22" i="45"/>
  <c r="O6" i="50"/>
  <c r="P7" i="50"/>
  <c r="P8" i="50"/>
  <c r="O7" i="50"/>
  <c r="O8" i="50"/>
  <c r="N8" i="50"/>
  <c r="N6" i="50"/>
  <c r="P6" i="50"/>
  <c r="J14" i="50"/>
  <c r="I15" i="50"/>
  <c r="H16" i="50"/>
  <c r="I16" i="50"/>
  <c r="J15" i="50"/>
  <c r="H14" i="50"/>
  <c r="I14" i="50"/>
  <c r="J16" i="50"/>
  <c r="H15" i="50"/>
  <c r="I7" i="50"/>
  <c r="C23" i="50" s="1"/>
  <c r="I6" i="50"/>
  <c r="J8" i="50"/>
  <c r="D24" i="50" s="1"/>
  <c r="I8" i="50"/>
  <c r="C24" i="50" s="1"/>
  <c r="J6" i="50"/>
  <c r="D22" i="50" s="1"/>
  <c r="H7" i="50"/>
  <c r="B23" i="50" s="1"/>
  <c r="H8" i="50"/>
  <c r="B24" i="50" s="1"/>
  <c r="J7" i="50"/>
  <c r="D23" i="50" s="1"/>
  <c r="B15" i="49"/>
  <c r="L6" i="49"/>
  <c r="L7" i="49"/>
  <c r="C15" i="49"/>
  <c r="M7" i="49"/>
  <c r="M6" i="49"/>
  <c r="B16" i="49"/>
  <c r="G16" i="49"/>
  <c r="H16" i="49"/>
  <c r="C16" i="49"/>
  <c r="I15" i="49"/>
  <c r="C7" i="47"/>
  <c r="A8" i="47"/>
  <c r="W12" i="50" l="1"/>
  <c r="W11" i="50"/>
  <c r="U11" i="50"/>
  <c r="X11" i="50"/>
  <c r="U12" i="50"/>
  <c r="X12" i="50"/>
  <c r="C22" i="50"/>
  <c r="B27" i="50" s="1"/>
  <c r="B15" i="50"/>
  <c r="B14" i="50"/>
  <c r="B28" i="50" s="1"/>
  <c r="B30" i="50" s="1"/>
  <c r="D15" i="49"/>
  <c r="I16" i="49"/>
  <c r="I17" i="49" s="1"/>
  <c r="G21" i="49" s="1"/>
  <c r="G22" i="49" s="1"/>
  <c r="G24" i="49" s="1"/>
  <c r="D16" i="49"/>
  <c r="C8" i="47"/>
  <c r="A9" i="47"/>
  <c r="B29" i="50" l="1"/>
  <c r="D17" i="49"/>
  <c r="B21" i="49" s="1"/>
  <c r="B22" i="49" s="1"/>
  <c r="B24" i="49" s="1"/>
  <c r="C9" i="47"/>
  <c r="A10" i="47"/>
  <c r="C10" i="47" l="1"/>
  <c r="A11" i="47"/>
  <c r="B17" i="47" s="1"/>
  <c r="B19" i="47" s="1"/>
  <c r="C11" i="47" l="1"/>
  <c r="C12" i="47" s="1"/>
  <c r="B14" i="47" s="1"/>
  <c r="D4" i="47" s="1"/>
  <c r="D7" i="47" l="1"/>
  <c r="F7" i="47" s="1"/>
  <c r="D11" i="47"/>
  <c r="D8" i="47"/>
  <c r="F8" i="47" s="1"/>
  <c r="D5" i="47"/>
  <c r="F5" i="47" s="1"/>
  <c r="D9" i="47"/>
  <c r="F9" i="47" s="1"/>
  <c r="D6" i="47"/>
  <c r="F6" i="47" s="1"/>
  <c r="D10" i="47"/>
  <c r="F10" i="47" s="1"/>
  <c r="F4" i="47"/>
  <c r="F11" i="47" l="1"/>
  <c r="F12" i="47" s="1"/>
  <c r="B18" i="47" s="1"/>
  <c r="B20" i="47" s="1"/>
  <c r="B21" i="47" s="1"/>
  <c r="J35" i="44" l="1"/>
  <c r="I35" i="44"/>
  <c r="J34" i="44"/>
  <c r="I34" i="44"/>
  <c r="B17" i="44"/>
  <c r="B18" i="44" s="1"/>
  <c r="F15" i="44"/>
  <c r="E15" i="44"/>
  <c r="D15" i="44"/>
  <c r="C15" i="44"/>
  <c r="F11" i="44"/>
  <c r="F12" i="44" s="1"/>
  <c r="E11" i="44"/>
  <c r="E12" i="44" s="1"/>
  <c r="D11" i="44"/>
  <c r="D12" i="44" s="1"/>
  <c r="C11" i="44"/>
  <c r="A30" i="23"/>
  <c r="A31" i="23" s="1"/>
  <c r="B29" i="23"/>
  <c r="A5" i="23"/>
  <c r="B5" i="23" s="1"/>
  <c r="B4" i="23"/>
  <c r="F13" i="44" l="1"/>
  <c r="F16" i="44" s="1"/>
  <c r="E13" i="44"/>
  <c r="E17" i="44" s="1"/>
  <c r="A6" i="23"/>
  <c r="B19" i="44"/>
  <c r="D13" i="44"/>
  <c r="D17" i="44" s="1"/>
  <c r="C12" i="44"/>
  <c r="C13" i="44" s="1"/>
  <c r="C17" i="44" s="1"/>
  <c r="B31" i="23"/>
  <c r="A32" i="23"/>
  <c r="B30" i="23"/>
  <c r="C5" i="32"/>
  <c r="C6" i="32" s="1"/>
  <c r="C7" i="32" s="1"/>
  <c r="C8" i="32" s="1"/>
  <c r="C9" i="32" s="1"/>
  <c r="C10" i="32" s="1"/>
  <c r="C11" i="32" s="1"/>
  <c r="C12" i="32" s="1"/>
  <c r="C13" i="32" s="1"/>
  <c r="C14" i="32" s="1"/>
  <c r="C15" i="32" s="1"/>
  <c r="A5" i="32"/>
  <c r="A6" i="32" s="1"/>
  <c r="A7" i="32" s="1"/>
  <c r="A8" i="32" s="1"/>
  <c r="A9" i="32" s="1"/>
  <c r="A10" i="32" s="1"/>
  <c r="A11" i="32" s="1"/>
  <c r="A12" i="32" s="1"/>
  <c r="A13" i="32" s="1"/>
  <c r="A14" i="32" s="1"/>
  <c r="A15" i="32" s="1"/>
  <c r="H54" i="31"/>
  <c r="C54" i="31"/>
  <c r="B54" i="31"/>
  <c r="H53" i="31"/>
  <c r="G53" i="31"/>
  <c r="C53" i="31"/>
  <c r="B53" i="31"/>
  <c r="A38" i="3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D29" i="31"/>
  <c r="D18" i="31"/>
  <c r="D17" i="31"/>
  <c r="D16" i="31"/>
  <c r="D15" i="31"/>
  <c r="D14" i="31"/>
  <c r="D13" i="31"/>
  <c r="D12" i="31"/>
  <c r="D11" i="31"/>
  <c r="D10" i="31"/>
  <c r="D9" i="31"/>
  <c r="D8" i="31"/>
  <c r="D7" i="31"/>
  <c r="D6" i="31"/>
  <c r="D5" i="31"/>
  <c r="A5" i="31"/>
  <c r="A6" i="31" s="1"/>
  <c r="A7" i="31" s="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D4" i="31"/>
  <c r="K11" i="31" l="1"/>
  <c r="K8" i="31"/>
  <c r="K10" i="31"/>
  <c r="K6" i="31"/>
  <c r="K7" i="31" s="1"/>
  <c r="K9" i="31"/>
  <c r="E18" i="44"/>
  <c r="F17" i="44"/>
  <c r="F18" i="44"/>
  <c r="E16" i="44"/>
  <c r="D53" i="31"/>
  <c r="G51" i="31" s="1"/>
  <c r="C16" i="44"/>
  <c r="D21" i="31"/>
  <c r="H52" i="31" s="1"/>
  <c r="D18" i="44"/>
  <c r="D23" i="31"/>
  <c r="D26" i="31" s="1"/>
  <c r="D31" i="31" s="1"/>
  <c r="A7" i="23"/>
  <c r="B6" i="23"/>
  <c r="D19" i="44"/>
  <c r="E19" i="44"/>
  <c r="C19" i="44"/>
  <c r="B20" i="44"/>
  <c r="F19" i="44"/>
  <c r="C18" i="44"/>
  <c r="D16" i="44"/>
  <c r="A33" i="23"/>
  <c r="B32" i="23"/>
  <c r="G52" i="31"/>
  <c r="D20" i="31"/>
  <c r="D24" i="31" l="1"/>
  <c r="D25" i="31" s="1"/>
  <c r="D28" i="31" s="1"/>
  <c r="A8" i="23"/>
  <c r="B7" i="23"/>
  <c r="B21" i="44"/>
  <c r="C20" i="44"/>
  <c r="E20" i="44"/>
  <c r="D20" i="44"/>
  <c r="F20" i="44"/>
  <c r="B33" i="23"/>
  <c r="A34" i="23"/>
  <c r="H51" i="31"/>
  <c r="E41" i="30"/>
  <c r="B16" i="30"/>
  <c r="A16" i="30"/>
  <c r="B15" i="30"/>
  <c r="A15" i="30"/>
  <c r="D5" i="29"/>
  <c r="D6" i="29" s="1"/>
  <c r="D7" i="29" s="1"/>
  <c r="D8" i="29" s="1"/>
  <c r="B8" i="23" l="1"/>
  <c r="A9" i="23"/>
  <c r="F21" i="44"/>
  <c r="E21" i="44"/>
  <c r="D21" i="44"/>
  <c r="C21" i="44"/>
  <c r="B22" i="44"/>
  <c r="A35" i="23"/>
  <c r="B34" i="23"/>
  <c r="A10" i="23" l="1"/>
  <c r="B9" i="23"/>
  <c r="E22" i="44"/>
  <c r="F22" i="44"/>
  <c r="D22" i="44"/>
  <c r="C22" i="44"/>
  <c r="B23" i="44"/>
  <c r="B35" i="23"/>
  <c r="A36" i="23"/>
  <c r="A11" i="23" l="1"/>
  <c r="B10" i="23"/>
  <c r="D23" i="44"/>
  <c r="F23" i="44"/>
  <c r="E23" i="44"/>
  <c r="C23" i="44"/>
  <c r="B24" i="44"/>
  <c r="A37" i="23"/>
  <c r="B36" i="23"/>
  <c r="A12" i="23" l="1"/>
  <c r="B11" i="23"/>
  <c r="B25" i="44"/>
  <c r="C24" i="44"/>
  <c r="F24" i="44"/>
  <c r="E24" i="44"/>
  <c r="D24" i="44"/>
  <c r="B37" i="23"/>
  <c r="A38" i="23"/>
  <c r="K39" i="26"/>
  <c r="R51" i="26"/>
  <c r="Q51" i="26"/>
  <c r="P51" i="26"/>
  <c r="W43" i="26"/>
  <c r="W42" i="26"/>
  <c r="W41" i="26"/>
  <c r="W40" i="26"/>
  <c r="W39" i="26"/>
  <c r="W38" i="26"/>
  <c r="W37" i="26"/>
  <c r="W36" i="26"/>
  <c r="W35" i="26"/>
  <c r="W34" i="26"/>
  <c r="W33" i="26"/>
  <c r="W32" i="26"/>
  <c r="W31" i="26"/>
  <c r="W30" i="26"/>
  <c r="W29" i="26"/>
  <c r="W28" i="26"/>
  <c r="W27" i="26"/>
  <c r="W26" i="26"/>
  <c r="W25" i="26"/>
  <c r="W24" i="26"/>
  <c r="W23" i="26"/>
  <c r="W22" i="26"/>
  <c r="W21" i="26"/>
  <c r="W20" i="26"/>
  <c r="W19" i="26"/>
  <c r="W18" i="26"/>
  <c r="W17" i="26"/>
  <c r="W16" i="26"/>
  <c r="W15" i="26"/>
  <c r="W14" i="26"/>
  <c r="W13" i="26"/>
  <c r="W12" i="26"/>
  <c r="W11" i="26"/>
  <c r="W10" i="26"/>
  <c r="W9" i="26"/>
  <c r="W8" i="26"/>
  <c r="W7" i="26"/>
  <c r="W6" i="26"/>
  <c r="W5" i="26"/>
  <c r="W4" i="26"/>
  <c r="I6" i="26"/>
  <c r="I7" i="26" s="1"/>
  <c r="I8" i="26" s="1"/>
  <c r="I9" i="26" s="1"/>
  <c r="I10" i="26" s="1"/>
  <c r="I11" i="26" s="1"/>
  <c r="I12" i="26" s="1"/>
  <c r="I13" i="26" s="1"/>
  <c r="I14" i="26" s="1"/>
  <c r="I15" i="26" s="1"/>
  <c r="K7" i="25"/>
  <c r="J7" i="25"/>
  <c r="I7" i="25"/>
  <c r="N7" i="25" s="1"/>
  <c r="K12" i="25" s="1"/>
  <c r="E5" i="25"/>
  <c r="A5" i="25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E4" i="25"/>
  <c r="E3" i="25"/>
  <c r="E11" i="25" s="1"/>
  <c r="E14" i="25" s="1"/>
  <c r="B61" i="24"/>
  <c r="G60" i="24"/>
  <c r="B21" i="24"/>
  <c r="B22" i="24" s="1"/>
  <c r="B23" i="24" s="1"/>
  <c r="B24" i="24" s="1"/>
  <c r="B25" i="24" s="1"/>
  <c r="B26" i="24" s="1"/>
  <c r="B27" i="24" s="1"/>
  <c r="B28" i="24" s="1"/>
  <c r="G28" i="24" s="1"/>
  <c r="G20" i="24"/>
  <c r="F19" i="24"/>
  <c r="E19" i="24"/>
  <c r="D19" i="24"/>
  <c r="F16" i="24"/>
  <c r="E16" i="24"/>
  <c r="D16" i="24"/>
  <c r="C16" i="24"/>
  <c r="F13" i="24"/>
  <c r="F15" i="24" s="1"/>
  <c r="E13" i="24"/>
  <c r="E15" i="24" s="1"/>
  <c r="D13" i="24"/>
  <c r="D15" i="24" s="1"/>
  <c r="C13" i="24"/>
  <c r="C15" i="24" s="1"/>
  <c r="F12" i="24"/>
  <c r="F14" i="24" s="1"/>
  <c r="E12" i="24"/>
  <c r="E14" i="24" s="1"/>
  <c r="D12" i="24"/>
  <c r="D14" i="24" s="1"/>
  <c r="D17" i="24" s="1"/>
  <c r="C12" i="24"/>
  <c r="C19" i="24" s="1"/>
  <c r="H8" i="22"/>
  <c r="G8" i="22"/>
  <c r="F8" i="22"/>
  <c r="H6" i="22"/>
  <c r="G6" i="22"/>
  <c r="F6" i="22"/>
  <c r="H4" i="22"/>
  <c r="H7" i="22" s="1"/>
  <c r="G4" i="22"/>
  <c r="G5" i="22" s="1"/>
  <c r="F4" i="22"/>
  <c r="F7" i="22" s="1"/>
  <c r="M4" i="21"/>
  <c r="M5" i="21" s="1"/>
  <c r="N4" i="21"/>
  <c r="N5" i="21" s="1"/>
  <c r="M6" i="21"/>
  <c r="N6" i="21"/>
  <c r="M7" i="21"/>
  <c r="N7" i="21"/>
  <c r="M8" i="21"/>
  <c r="N8" i="21"/>
  <c r="L8" i="21"/>
  <c r="L7" i="21"/>
  <c r="L6" i="21"/>
  <c r="L4" i="21"/>
  <c r="L5" i="21" s="1"/>
  <c r="H8" i="21"/>
  <c r="G8" i="21"/>
  <c r="F8" i="21"/>
  <c r="H7" i="21"/>
  <c r="G7" i="21"/>
  <c r="F7" i="21"/>
  <c r="H6" i="21"/>
  <c r="G6" i="21"/>
  <c r="F6" i="21"/>
  <c r="H4" i="21"/>
  <c r="H5" i="21" s="1"/>
  <c r="G4" i="21"/>
  <c r="G5" i="21" s="1"/>
  <c r="F4" i="21"/>
  <c r="F5" i="21" s="1"/>
  <c r="C140" i="17"/>
  <c r="B140" i="17"/>
  <c r="A108" i="17"/>
  <c r="B108" i="17" s="1"/>
  <c r="A4" i="17"/>
  <c r="B4" i="17" s="1"/>
  <c r="E4" i="15" a="1"/>
  <c r="E7" i="15" s="1"/>
  <c r="O6" i="13"/>
  <c r="S8" i="13"/>
  <c r="R14" i="13" s="1"/>
  <c r="G8" i="13"/>
  <c r="D15" i="13" s="1"/>
  <c r="T7" i="13"/>
  <c r="V7" i="13" s="1"/>
  <c r="I7" i="13"/>
  <c r="H7" i="13"/>
  <c r="T6" i="13"/>
  <c r="V6" i="13" s="1"/>
  <c r="I6" i="13"/>
  <c r="H6" i="13"/>
  <c r="T5" i="13"/>
  <c r="V5" i="13" s="1"/>
  <c r="O5" i="13"/>
  <c r="I5" i="13"/>
  <c r="H5" i="13"/>
  <c r="T4" i="13"/>
  <c r="V4" i="13" s="1"/>
  <c r="O4" i="13"/>
  <c r="I4" i="13"/>
  <c r="H4" i="13"/>
  <c r="K21" i="12"/>
  <c r="J21" i="12"/>
  <c r="K20" i="12"/>
  <c r="J20" i="12"/>
  <c r="K19" i="12"/>
  <c r="J19" i="12"/>
  <c r="K18" i="12"/>
  <c r="J18" i="12"/>
  <c r="K17" i="12"/>
  <c r="J17" i="12"/>
  <c r="K16" i="12"/>
  <c r="J16" i="12"/>
  <c r="K15" i="12"/>
  <c r="J15" i="12"/>
  <c r="K13" i="12"/>
  <c r="J13" i="12"/>
  <c r="K12" i="12"/>
  <c r="J12" i="12"/>
  <c r="K11" i="12"/>
  <c r="J11" i="12"/>
  <c r="K10" i="12"/>
  <c r="J10" i="12"/>
  <c r="K9" i="12"/>
  <c r="J9" i="12"/>
  <c r="K8" i="12"/>
  <c r="J8" i="12"/>
  <c r="K7" i="12"/>
  <c r="J7" i="12"/>
  <c r="K6" i="12"/>
  <c r="G22" i="11"/>
  <c r="L20" i="11"/>
  <c r="G20" i="11"/>
  <c r="L19" i="11"/>
  <c r="G19" i="11"/>
  <c r="L18" i="11"/>
  <c r="G18" i="11"/>
  <c r="L17" i="11"/>
  <c r="G17" i="11"/>
  <c r="L16" i="11"/>
  <c r="G16" i="11"/>
  <c r="L15" i="11"/>
  <c r="G15" i="11"/>
  <c r="L14" i="11"/>
  <c r="G14" i="11"/>
  <c r="L12" i="11"/>
  <c r="G12" i="11"/>
  <c r="L11" i="11"/>
  <c r="G11" i="11"/>
  <c r="L10" i="11"/>
  <c r="G10" i="11"/>
  <c r="L9" i="11"/>
  <c r="G9" i="11"/>
  <c r="L8" i="11"/>
  <c r="G8" i="11"/>
  <c r="L7" i="11"/>
  <c r="G7" i="11"/>
  <c r="L6" i="11"/>
  <c r="L5" i="11"/>
  <c r="G5" i="11"/>
  <c r="F12" i="9"/>
  <c r="D12" i="9" s="1"/>
  <c r="C12" i="9"/>
  <c r="B12" i="9"/>
  <c r="D14" i="9" s="1"/>
  <c r="F15" i="9"/>
  <c r="C15" i="9"/>
  <c r="B15" i="9"/>
  <c r="F13" i="9"/>
  <c r="C13" i="9"/>
  <c r="B13" i="9"/>
  <c r="D13" i="9" l="1"/>
  <c r="O7" i="25"/>
  <c r="V51" i="26"/>
  <c r="I8" i="11"/>
  <c r="I12" i="11"/>
  <c r="I16" i="11"/>
  <c r="I9" i="11"/>
  <c r="I13" i="11"/>
  <c r="I6" i="11"/>
  <c r="I10" i="11"/>
  <c r="I14" i="11"/>
  <c r="I7" i="11"/>
  <c r="I11" i="11"/>
  <c r="I15" i="11"/>
  <c r="C33" i="368"/>
  <c r="Q63" i="26"/>
  <c r="Q62" i="26"/>
  <c r="G13" i="11"/>
  <c r="G27" i="26"/>
  <c r="G6" i="11"/>
  <c r="K14" i="12"/>
  <c r="R11" i="13"/>
  <c r="L7" i="25"/>
  <c r="G39" i="26"/>
  <c r="H5" i="22"/>
  <c r="G26" i="24"/>
  <c r="L13" i="11"/>
  <c r="J14" i="12"/>
  <c r="D12" i="13"/>
  <c r="E6" i="15"/>
  <c r="A109" i="17"/>
  <c r="B109" i="17" s="1"/>
  <c r="F5" i="22"/>
  <c r="F17" i="24"/>
  <c r="F23" i="24" s="1"/>
  <c r="G22" i="24"/>
  <c r="G36" i="26"/>
  <c r="L35" i="26"/>
  <c r="V8" i="13"/>
  <c r="Q14" i="13" s="1"/>
  <c r="E6" i="25"/>
  <c r="E18" i="25" s="1"/>
  <c r="E19" i="25" s="1"/>
  <c r="S51" i="26"/>
  <c r="T51" i="26" s="1"/>
  <c r="L33" i="26"/>
  <c r="M33" i="26" s="1"/>
  <c r="M38" i="26" s="1"/>
  <c r="L22" i="26"/>
  <c r="H8" i="13"/>
  <c r="F11" i="13" s="1"/>
  <c r="U5" i="13"/>
  <c r="E4" i="15"/>
  <c r="G31" i="26"/>
  <c r="K40" i="26"/>
  <c r="L23" i="26"/>
  <c r="E8" i="15"/>
  <c r="D15" i="9"/>
  <c r="I8" i="13"/>
  <c r="F14" i="13" s="1"/>
  <c r="U6" i="13"/>
  <c r="E5" i="15"/>
  <c r="E17" i="24"/>
  <c r="E28" i="24" s="1"/>
  <c r="G21" i="24"/>
  <c r="G34" i="26"/>
  <c r="L34" i="26"/>
  <c r="L20" i="26"/>
  <c r="L21" i="26" s="1"/>
  <c r="L24" i="26"/>
  <c r="B12" i="23"/>
  <c r="A13" i="23"/>
  <c r="F25" i="44"/>
  <c r="B26" i="44"/>
  <c r="E25" i="44"/>
  <c r="D25" i="44"/>
  <c r="C25" i="44"/>
  <c r="A39" i="23"/>
  <c r="B39" i="23" s="1"/>
  <c r="B38" i="23"/>
  <c r="U51" i="26"/>
  <c r="G37" i="26"/>
  <c r="G25" i="26"/>
  <c r="G29" i="26"/>
  <c r="G35" i="26"/>
  <c r="G38" i="26"/>
  <c r="G24" i="26"/>
  <c r="G28" i="26"/>
  <c r="G33" i="26"/>
  <c r="G26" i="26"/>
  <c r="G30" i="26"/>
  <c r="K11" i="25"/>
  <c r="D28" i="24"/>
  <c r="D26" i="24"/>
  <c r="D24" i="24"/>
  <c r="D22" i="24"/>
  <c r="D20" i="24"/>
  <c r="D61" i="24"/>
  <c r="D60" i="24"/>
  <c r="D27" i="24"/>
  <c r="D25" i="24"/>
  <c r="D23" i="24"/>
  <c r="D21" i="24"/>
  <c r="G24" i="24"/>
  <c r="B29" i="24"/>
  <c r="G61" i="24"/>
  <c r="B62" i="24"/>
  <c r="C14" i="24"/>
  <c r="C17" i="24" s="1"/>
  <c r="G23" i="24"/>
  <c r="G27" i="24"/>
  <c r="G25" i="24"/>
  <c r="G7" i="22"/>
  <c r="A5" i="17"/>
  <c r="U4" i="13"/>
  <c r="U7" i="13"/>
  <c r="G14" i="13"/>
  <c r="D13" i="13"/>
  <c r="G11" i="13"/>
  <c r="D14" i="13"/>
  <c r="B13" i="8"/>
  <c r="B14" i="8" s="1"/>
  <c r="B15" i="8" s="1"/>
  <c r="B11" i="8"/>
  <c r="B10" i="8"/>
  <c r="B9" i="8"/>
  <c r="M7" i="25" l="1"/>
  <c r="J12" i="25" s="1"/>
  <c r="N12" i="25" s="1"/>
  <c r="Q56" i="26"/>
  <c r="U56" i="26" s="1"/>
  <c r="F20" i="24"/>
  <c r="E26" i="24"/>
  <c r="F28" i="24"/>
  <c r="A110" i="17"/>
  <c r="B110" i="17" s="1"/>
  <c r="F21" i="24"/>
  <c r="F27" i="24"/>
  <c r="F26" i="24"/>
  <c r="M12" i="25"/>
  <c r="G32" i="26"/>
  <c r="H11" i="13"/>
  <c r="H14" i="13" s="1"/>
  <c r="I14" i="13" s="1"/>
  <c r="E23" i="24"/>
  <c r="E60" i="24"/>
  <c r="W51" i="26"/>
  <c r="E20" i="24"/>
  <c r="E24" i="24"/>
  <c r="E12" i="25"/>
  <c r="E13" i="25" s="1"/>
  <c r="E15" i="25" s="1"/>
  <c r="E22" i="24"/>
  <c r="E25" i="24"/>
  <c r="F60" i="24"/>
  <c r="F24" i="24"/>
  <c r="F25" i="24"/>
  <c r="N40" i="26"/>
  <c r="N42" i="26"/>
  <c r="N44" i="26"/>
  <c r="N46" i="26"/>
  <c r="N48" i="26"/>
  <c r="N50" i="26"/>
  <c r="N52" i="26"/>
  <c r="N54" i="26"/>
  <c r="N56" i="26"/>
  <c r="N58" i="26"/>
  <c r="N60" i="26"/>
  <c r="N62" i="26"/>
  <c r="N64" i="26"/>
  <c r="N66" i="26"/>
  <c r="N68" i="26"/>
  <c r="N70" i="26"/>
  <c r="N72" i="26"/>
  <c r="N74" i="26"/>
  <c r="N76" i="26"/>
  <c r="N39" i="26"/>
  <c r="N41" i="26"/>
  <c r="N43" i="26"/>
  <c r="N45" i="26"/>
  <c r="N47" i="26"/>
  <c r="N49" i="26"/>
  <c r="N51" i="26"/>
  <c r="N53" i="26"/>
  <c r="N55" i="26"/>
  <c r="N57" i="26"/>
  <c r="N59" i="26"/>
  <c r="N61" i="26"/>
  <c r="N63" i="26"/>
  <c r="N65" i="26"/>
  <c r="N67" i="26"/>
  <c r="N69" i="26"/>
  <c r="N71" i="26"/>
  <c r="N73" i="26"/>
  <c r="N75" i="26"/>
  <c r="N77" i="26"/>
  <c r="N38" i="26"/>
  <c r="K41" i="26"/>
  <c r="M40" i="26"/>
  <c r="G21" i="11"/>
  <c r="B10" i="248"/>
  <c r="B17" i="8"/>
  <c r="B18" i="8" s="1"/>
  <c r="E27" i="24"/>
  <c r="E21" i="24"/>
  <c r="E61" i="24"/>
  <c r="F61" i="24"/>
  <c r="F22" i="24"/>
  <c r="M39" i="26"/>
  <c r="A14" i="23"/>
  <c r="B13" i="23"/>
  <c r="E26" i="44"/>
  <c r="B27" i="44"/>
  <c r="F26" i="44"/>
  <c r="D26" i="44"/>
  <c r="C26" i="44"/>
  <c r="Q55" i="26"/>
  <c r="U55" i="26" s="1"/>
  <c r="R55" i="26"/>
  <c r="R56" i="26"/>
  <c r="B7" i="737" s="1"/>
  <c r="L12" i="25"/>
  <c r="G29" i="24"/>
  <c r="B30" i="24"/>
  <c r="C30" i="24" s="1"/>
  <c r="D29" i="24"/>
  <c r="C62" i="24"/>
  <c r="C61" i="24"/>
  <c r="C29" i="24"/>
  <c r="C27" i="24"/>
  <c r="C23" i="24"/>
  <c r="C28" i="24"/>
  <c r="C24" i="24"/>
  <c r="C60" i="24"/>
  <c r="C25" i="24"/>
  <c r="C21" i="24"/>
  <c r="C20" i="24"/>
  <c r="C26" i="24"/>
  <c r="C22" i="24"/>
  <c r="G62" i="24"/>
  <c r="B63" i="24"/>
  <c r="E29" i="24"/>
  <c r="E62" i="24"/>
  <c r="D62" i="24"/>
  <c r="F62" i="24"/>
  <c r="F29" i="24"/>
  <c r="B5" i="17"/>
  <c r="A6" i="17"/>
  <c r="U8" i="13"/>
  <c r="Q11" i="13" s="1"/>
  <c r="S11" i="13" s="1"/>
  <c r="S14" i="13" s="1"/>
  <c r="T14" i="13" s="1"/>
  <c r="D8" i="7"/>
  <c r="D7" i="7"/>
  <c r="D6" i="7"/>
  <c r="D5" i="7"/>
  <c r="D4" i="7"/>
  <c r="A5" i="6"/>
  <c r="C4" i="6"/>
  <c r="C5" i="6" s="1"/>
  <c r="C6" i="6" s="1"/>
  <c r="C7" i="6" s="1"/>
  <c r="C8" i="6" s="1"/>
  <c r="C9" i="6" s="1"/>
  <c r="C10" i="6" s="1"/>
  <c r="C11" i="6" s="1"/>
  <c r="D3" i="5" a="1"/>
  <c r="H4" i="5" s="1"/>
  <c r="A5" i="4"/>
  <c r="A6" i="4" s="1"/>
  <c r="A7" i="4" s="1"/>
  <c r="A8" i="4" s="1"/>
  <c r="A9" i="4" s="1"/>
  <c r="A10" i="4" s="1"/>
  <c r="A11" i="4" s="1"/>
  <c r="A12" i="4" s="1"/>
  <c r="A13" i="4" s="1"/>
  <c r="D4" i="3" a="1"/>
  <c r="D7" i="3" s="1"/>
  <c r="D11" i="2"/>
  <c r="C11" i="2"/>
  <c r="B11" i="2"/>
  <c r="C7" i="737" l="1"/>
  <c r="C9" i="737" s="1"/>
  <c r="B9" i="737"/>
  <c r="J11" i="25"/>
  <c r="N11" i="25" s="1"/>
  <c r="P7" i="25"/>
  <c r="A6" i="6"/>
  <c r="A7" i="6" s="1"/>
  <c r="A8" i="6" s="1"/>
  <c r="A9" i="6" s="1"/>
  <c r="A10" i="6" s="1"/>
  <c r="A11" i="6" s="1"/>
  <c r="A111" i="17"/>
  <c r="A112" i="17" s="1"/>
  <c r="D4" i="5"/>
  <c r="B7" i="248"/>
  <c r="B9" i="248" s="1"/>
  <c r="D6" i="3"/>
  <c r="D9" i="7"/>
  <c r="E5" i="7" s="1"/>
  <c r="D4" i="3"/>
  <c r="B19" i="8"/>
  <c r="D5" i="3"/>
  <c r="F3" i="5"/>
  <c r="K42" i="26"/>
  <c r="M41" i="26"/>
  <c r="B14" i="23"/>
  <c r="A15" i="23"/>
  <c r="D27" i="44"/>
  <c r="B28" i="44"/>
  <c r="F27" i="44"/>
  <c r="E27" i="44"/>
  <c r="C27" i="44"/>
  <c r="S56" i="26"/>
  <c r="T56" i="26"/>
  <c r="G63" i="24"/>
  <c r="B64" i="24"/>
  <c r="E63" i="24"/>
  <c r="D63" i="24"/>
  <c r="F63" i="24"/>
  <c r="C63" i="24"/>
  <c r="G30" i="24"/>
  <c r="B31" i="24"/>
  <c r="D30" i="24"/>
  <c r="E30" i="24"/>
  <c r="F30" i="24"/>
  <c r="A7" i="17"/>
  <c r="B6" i="17"/>
  <c r="G3" i="5"/>
  <c r="E4" i="5"/>
  <c r="I4" i="5"/>
  <c r="D3" i="5"/>
  <c r="H3" i="5"/>
  <c r="F4" i="5"/>
  <c r="E3" i="5"/>
  <c r="I3" i="5"/>
  <c r="G4" i="5"/>
  <c r="B11" i="737" l="1"/>
  <c r="B10" i="737"/>
  <c r="C10" i="737"/>
  <c r="C11" i="737"/>
  <c r="C15" i="6"/>
  <c r="C14" i="6"/>
  <c r="C16" i="6"/>
  <c r="B111" i="17"/>
  <c r="E6" i="7"/>
  <c r="E7" i="7"/>
  <c r="E8" i="7"/>
  <c r="B13" i="248"/>
  <c r="E4" i="7"/>
  <c r="K43" i="26"/>
  <c r="M42" i="26"/>
  <c r="A16" i="23"/>
  <c r="B15" i="23"/>
  <c r="B29" i="44"/>
  <c r="C28" i="44"/>
  <c r="F28" i="44"/>
  <c r="E28" i="44"/>
  <c r="D28" i="44"/>
  <c r="G31" i="24"/>
  <c r="B32" i="24"/>
  <c r="F31" i="24"/>
  <c r="D31" i="24"/>
  <c r="E31" i="24"/>
  <c r="C31" i="24"/>
  <c r="G64" i="24"/>
  <c r="B65" i="24"/>
  <c r="E64" i="24"/>
  <c r="F64" i="24"/>
  <c r="D64" i="24"/>
  <c r="C64" i="24"/>
  <c r="B7" i="17"/>
  <c r="A8" i="17"/>
  <c r="B112" i="17"/>
  <c r="A113" i="17"/>
  <c r="K44" i="26" l="1"/>
  <c r="M43" i="26"/>
  <c r="B16" i="23"/>
  <c r="A17" i="23"/>
  <c r="F29" i="44"/>
  <c r="C29" i="44"/>
  <c r="B30" i="44"/>
  <c r="E29" i="44"/>
  <c r="D29" i="44"/>
  <c r="G65" i="24"/>
  <c r="B66" i="24"/>
  <c r="F65" i="24"/>
  <c r="D65" i="24"/>
  <c r="E65" i="24"/>
  <c r="C65" i="24"/>
  <c r="G32" i="24"/>
  <c r="B33" i="24"/>
  <c r="F32" i="24"/>
  <c r="E32" i="24"/>
  <c r="D32" i="24"/>
  <c r="C32" i="24"/>
  <c r="A9" i="17"/>
  <c r="B8" i="17"/>
  <c r="B113" i="17"/>
  <c r="A114" i="17"/>
  <c r="K45" i="26" l="1"/>
  <c r="M44" i="26"/>
  <c r="A18" i="23"/>
  <c r="B17" i="23"/>
  <c r="E30" i="44"/>
  <c r="C30" i="44"/>
  <c r="B31" i="44"/>
  <c r="F30" i="44"/>
  <c r="D30" i="44"/>
  <c r="G33" i="24"/>
  <c r="B34" i="24"/>
  <c r="D33" i="24"/>
  <c r="F33" i="24"/>
  <c r="E33" i="24"/>
  <c r="C33" i="24"/>
  <c r="G66" i="24"/>
  <c r="B67" i="24"/>
  <c r="F66" i="24"/>
  <c r="D66" i="24"/>
  <c r="E66" i="24"/>
  <c r="C66" i="24"/>
  <c r="B9" i="17"/>
  <c r="A10" i="17"/>
  <c r="B114" i="17"/>
  <c r="A115" i="17"/>
  <c r="K46" i="26" l="1"/>
  <c r="M45" i="26"/>
  <c r="A19" i="23"/>
  <c r="B18" i="23"/>
  <c r="D31" i="44"/>
  <c r="C31" i="44"/>
  <c r="B32" i="44"/>
  <c r="F31" i="44"/>
  <c r="E31" i="44"/>
  <c r="G67" i="24"/>
  <c r="B68" i="24"/>
  <c r="D67" i="24"/>
  <c r="F67" i="24"/>
  <c r="E67" i="24"/>
  <c r="C67" i="24"/>
  <c r="G34" i="24"/>
  <c r="B35" i="24"/>
  <c r="D34" i="24"/>
  <c r="F34" i="24"/>
  <c r="E34" i="24"/>
  <c r="C34" i="24"/>
  <c r="A11" i="17"/>
  <c r="B10" i="17"/>
  <c r="B115" i="17"/>
  <c r="A116" i="17"/>
  <c r="K47" i="26" l="1"/>
  <c r="M46" i="26"/>
  <c r="A20" i="23"/>
  <c r="B19" i="23"/>
  <c r="B33" i="44"/>
  <c r="C32" i="44"/>
  <c r="D32" i="44"/>
  <c r="F32" i="44"/>
  <c r="E32" i="44"/>
  <c r="G35" i="24"/>
  <c r="B36" i="24"/>
  <c r="E35" i="24"/>
  <c r="F35" i="24"/>
  <c r="D35" i="24"/>
  <c r="C35" i="24"/>
  <c r="G68" i="24"/>
  <c r="B69" i="24"/>
  <c r="F68" i="24"/>
  <c r="E68" i="24"/>
  <c r="D68" i="24"/>
  <c r="C68" i="24"/>
  <c r="B116" i="17"/>
  <c r="A117" i="17"/>
  <c r="B11" i="17"/>
  <c r="A12" i="17"/>
  <c r="K48" i="26" l="1"/>
  <c r="M47" i="26"/>
  <c r="B20" i="23"/>
  <c r="A21" i="23"/>
  <c r="F33" i="44"/>
  <c r="D33" i="44"/>
  <c r="C33" i="44"/>
  <c r="B34" i="44"/>
  <c r="E33" i="44"/>
  <c r="G69" i="24"/>
  <c r="B70" i="24"/>
  <c r="F69" i="24"/>
  <c r="D69" i="24"/>
  <c r="E69" i="24"/>
  <c r="C69" i="24"/>
  <c r="G36" i="24"/>
  <c r="B37" i="24"/>
  <c r="D36" i="24"/>
  <c r="E36" i="24"/>
  <c r="F36" i="24"/>
  <c r="C36" i="24"/>
  <c r="B12" i="17"/>
  <c r="A13" i="17"/>
  <c r="B117" i="17"/>
  <c r="A118" i="17"/>
  <c r="K49" i="26" l="1"/>
  <c r="M48" i="26"/>
  <c r="A22" i="23"/>
  <c r="B21" i="23"/>
  <c r="B35" i="44"/>
  <c r="E34" i="44"/>
  <c r="D34" i="44"/>
  <c r="C34" i="44"/>
  <c r="F34" i="44"/>
  <c r="G37" i="24"/>
  <c r="B38" i="24"/>
  <c r="D37" i="24"/>
  <c r="E37" i="24"/>
  <c r="F37" i="24"/>
  <c r="C37" i="24"/>
  <c r="G70" i="24"/>
  <c r="B71" i="24"/>
  <c r="D70" i="24"/>
  <c r="E70" i="24"/>
  <c r="F70" i="24"/>
  <c r="C70" i="24"/>
  <c r="B118" i="17"/>
  <c r="A119" i="17"/>
  <c r="B13" i="17"/>
  <c r="A14" i="17"/>
  <c r="K50" i="26" l="1"/>
  <c r="M49" i="26"/>
  <c r="B22" i="23"/>
  <c r="A23" i="23"/>
  <c r="F35" i="44"/>
  <c r="C35" i="44"/>
  <c r="E35" i="44"/>
  <c r="B36" i="44"/>
  <c r="D35" i="44"/>
  <c r="G71" i="24"/>
  <c r="B72" i="24"/>
  <c r="D71" i="24"/>
  <c r="E71" i="24"/>
  <c r="F71" i="24"/>
  <c r="C71" i="24"/>
  <c r="G38" i="24"/>
  <c r="B39" i="24"/>
  <c r="F38" i="24"/>
  <c r="E38" i="24"/>
  <c r="D38" i="24"/>
  <c r="C38" i="24"/>
  <c r="A15" i="17"/>
  <c r="B14" i="17"/>
  <c r="B119" i="17"/>
  <c r="A120" i="17"/>
  <c r="K51" i="26" l="1"/>
  <c r="M50" i="26"/>
  <c r="B23" i="23"/>
  <c r="A24" i="23"/>
  <c r="B24" i="23" s="1"/>
  <c r="B37" i="44"/>
  <c r="C36" i="44"/>
  <c r="F36" i="44"/>
  <c r="E36" i="44"/>
  <c r="D36" i="44"/>
  <c r="G39" i="24"/>
  <c r="B40" i="24"/>
  <c r="E39" i="24"/>
  <c r="F39" i="24"/>
  <c r="D39" i="24"/>
  <c r="C39" i="24"/>
  <c r="G72" i="24"/>
  <c r="B73" i="24"/>
  <c r="E72" i="24"/>
  <c r="D72" i="24"/>
  <c r="F72" i="24"/>
  <c r="C72" i="24"/>
  <c r="B15" i="17"/>
  <c r="A16" i="17"/>
  <c r="B120" i="17"/>
  <c r="A121" i="17"/>
  <c r="K52" i="26" l="1"/>
  <c r="M51" i="26"/>
  <c r="F37" i="44"/>
  <c r="B38" i="44"/>
  <c r="E37" i="44"/>
  <c r="D37" i="44"/>
  <c r="C37" i="44"/>
  <c r="G73" i="24"/>
  <c r="B74" i="24"/>
  <c r="D73" i="24"/>
  <c r="F73" i="24"/>
  <c r="E73" i="24"/>
  <c r="C73" i="24"/>
  <c r="G40" i="24"/>
  <c r="B41" i="24"/>
  <c r="E40" i="24"/>
  <c r="F40" i="24"/>
  <c r="D40" i="24"/>
  <c r="C40" i="24"/>
  <c r="B121" i="17"/>
  <c r="A122" i="17"/>
  <c r="B16" i="17"/>
  <c r="A17" i="17"/>
  <c r="K53" i="26" l="1"/>
  <c r="M52" i="26"/>
  <c r="E38" i="44"/>
  <c r="B39" i="44"/>
  <c r="F38" i="44"/>
  <c r="D38" i="44"/>
  <c r="C38" i="44"/>
  <c r="G41" i="24"/>
  <c r="B42" i="24"/>
  <c r="D41" i="24"/>
  <c r="F41" i="24"/>
  <c r="E41" i="24"/>
  <c r="C41" i="24"/>
  <c r="G74" i="24"/>
  <c r="B75" i="24"/>
  <c r="F74" i="24"/>
  <c r="D74" i="24"/>
  <c r="E74" i="24"/>
  <c r="C74" i="24"/>
  <c r="B17" i="17"/>
  <c r="A18" i="17"/>
  <c r="B122" i="17"/>
  <c r="A123" i="17"/>
  <c r="K54" i="26" l="1"/>
  <c r="M53" i="26"/>
  <c r="D39" i="44"/>
  <c r="B40" i="44"/>
  <c r="F39" i="44"/>
  <c r="E39" i="44"/>
  <c r="C39" i="44"/>
  <c r="G75" i="24"/>
  <c r="B76" i="24"/>
  <c r="F75" i="24"/>
  <c r="E75" i="24"/>
  <c r="D75" i="24"/>
  <c r="C75" i="24"/>
  <c r="G42" i="24"/>
  <c r="B43" i="24"/>
  <c r="D42" i="24"/>
  <c r="F42" i="24"/>
  <c r="E42" i="24"/>
  <c r="C42" i="24"/>
  <c r="A19" i="17"/>
  <c r="B18" i="17"/>
  <c r="B123" i="17"/>
  <c r="A124" i="17"/>
  <c r="K55" i="26" l="1"/>
  <c r="M54" i="26"/>
  <c r="B41" i="44"/>
  <c r="C40" i="44"/>
  <c r="F40" i="44"/>
  <c r="E40" i="44"/>
  <c r="D40" i="44"/>
  <c r="G43" i="24"/>
  <c r="B44" i="24"/>
  <c r="F43" i="24"/>
  <c r="D43" i="24"/>
  <c r="E43" i="24"/>
  <c r="C43" i="24"/>
  <c r="G76" i="24"/>
  <c r="B77" i="24"/>
  <c r="F76" i="24"/>
  <c r="D76" i="24"/>
  <c r="E76" i="24"/>
  <c r="C76" i="24"/>
  <c r="B124" i="17"/>
  <c r="A125" i="17"/>
  <c r="B19" i="17"/>
  <c r="A20" i="17"/>
  <c r="K56" i="26" l="1"/>
  <c r="M55" i="26"/>
  <c r="F41" i="44"/>
  <c r="C41" i="44"/>
  <c r="B42" i="44"/>
  <c r="E41" i="44"/>
  <c r="D41" i="44"/>
  <c r="G77" i="24"/>
  <c r="B78" i="24"/>
  <c r="E77" i="24"/>
  <c r="F77" i="24"/>
  <c r="D77" i="24"/>
  <c r="C77" i="24"/>
  <c r="B45" i="24"/>
  <c r="G44" i="24"/>
  <c r="D44" i="24"/>
  <c r="E44" i="24"/>
  <c r="F44" i="24"/>
  <c r="C44" i="24"/>
  <c r="B20" i="17"/>
  <c r="A21" i="17"/>
  <c r="B125" i="17"/>
  <c r="A126" i="17"/>
  <c r="K57" i="26" l="1"/>
  <c r="M56" i="26"/>
  <c r="E42" i="44"/>
  <c r="C42" i="44"/>
  <c r="B43" i="44"/>
  <c r="F42" i="44"/>
  <c r="D42" i="44"/>
  <c r="B46" i="24"/>
  <c r="G45" i="24"/>
  <c r="D45" i="24"/>
  <c r="E45" i="24"/>
  <c r="F45" i="24"/>
  <c r="C45" i="24"/>
  <c r="G78" i="24"/>
  <c r="B79" i="24"/>
  <c r="F78" i="24"/>
  <c r="E78" i="24"/>
  <c r="D78" i="24"/>
  <c r="C78" i="24"/>
  <c r="B126" i="17"/>
  <c r="A127" i="17"/>
  <c r="B21" i="17"/>
  <c r="A22" i="17"/>
  <c r="K58" i="26" l="1"/>
  <c r="M57" i="26"/>
  <c r="D43" i="44"/>
  <c r="C43" i="44"/>
  <c r="B44" i="44"/>
  <c r="F43" i="44"/>
  <c r="E43" i="44"/>
  <c r="G79" i="24"/>
  <c r="B80" i="24"/>
  <c r="E79" i="24"/>
  <c r="F79" i="24"/>
  <c r="D79" i="24"/>
  <c r="C79" i="24"/>
  <c r="B47" i="24"/>
  <c r="G46" i="24"/>
  <c r="F46" i="24"/>
  <c r="E46" i="24"/>
  <c r="D46" i="24"/>
  <c r="C46" i="24"/>
  <c r="A23" i="17"/>
  <c r="B22" i="17"/>
  <c r="B127" i="17"/>
  <c r="A128" i="17"/>
  <c r="K59" i="26" l="1"/>
  <c r="M58" i="26"/>
  <c r="B45" i="44"/>
  <c r="C44" i="44"/>
  <c r="D44" i="44"/>
  <c r="F44" i="44"/>
  <c r="E44" i="44"/>
  <c r="G47" i="24"/>
  <c r="B48" i="24"/>
  <c r="D47" i="24"/>
  <c r="F47" i="24"/>
  <c r="E47" i="24"/>
  <c r="C47" i="24"/>
  <c r="G80" i="24"/>
  <c r="B81" i="24"/>
  <c r="D80" i="24"/>
  <c r="E80" i="24"/>
  <c r="F80" i="24"/>
  <c r="C80" i="24"/>
  <c r="B128" i="17"/>
  <c r="A129" i="17"/>
  <c r="B23" i="17"/>
  <c r="A24" i="17"/>
  <c r="K60" i="26" l="1"/>
  <c r="M59" i="26"/>
  <c r="F45" i="44"/>
  <c r="D45" i="44"/>
  <c r="C45" i="44"/>
  <c r="B46" i="44"/>
  <c r="E45" i="44"/>
  <c r="G81" i="24"/>
  <c r="B82" i="24"/>
  <c r="F81" i="24"/>
  <c r="D81" i="24"/>
  <c r="E81" i="24"/>
  <c r="C81" i="24"/>
  <c r="B49" i="24"/>
  <c r="G48" i="24"/>
  <c r="D48" i="24"/>
  <c r="F48" i="24"/>
  <c r="E48" i="24"/>
  <c r="C48" i="24"/>
  <c r="B129" i="17"/>
  <c r="A130" i="17"/>
  <c r="A25" i="17"/>
  <c r="B24" i="17"/>
  <c r="K61" i="26" l="1"/>
  <c r="M60" i="26"/>
  <c r="E46" i="44"/>
  <c r="D46" i="44"/>
  <c r="C46" i="44"/>
  <c r="B47" i="44"/>
  <c r="F46" i="44"/>
  <c r="B50" i="24"/>
  <c r="G49" i="24"/>
  <c r="F49" i="24"/>
  <c r="E49" i="24"/>
  <c r="D49" i="24"/>
  <c r="C49" i="24"/>
  <c r="G82" i="24"/>
  <c r="B83" i="24"/>
  <c r="F82" i="24"/>
  <c r="D82" i="24"/>
  <c r="E82" i="24"/>
  <c r="C82" i="24"/>
  <c r="B25" i="17"/>
  <c r="A26" i="17"/>
  <c r="B130" i="17"/>
  <c r="A131" i="17"/>
  <c r="K62" i="26" l="1"/>
  <c r="M61" i="26"/>
  <c r="D47" i="44"/>
  <c r="E47" i="44"/>
  <c r="C47" i="44"/>
  <c r="B48" i="44"/>
  <c r="F47" i="44"/>
  <c r="G83" i="24"/>
  <c r="B84" i="24"/>
  <c r="F83" i="24"/>
  <c r="D83" i="24"/>
  <c r="E83" i="24"/>
  <c r="C83" i="24"/>
  <c r="B51" i="24"/>
  <c r="G50" i="24"/>
  <c r="F50" i="24"/>
  <c r="E50" i="24"/>
  <c r="D50" i="24"/>
  <c r="C50" i="24"/>
  <c r="A27" i="17"/>
  <c r="B26" i="17"/>
  <c r="B131" i="17"/>
  <c r="A132" i="17"/>
  <c r="K63" i="26" l="1"/>
  <c r="M62" i="26"/>
  <c r="B49" i="44"/>
  <c r="C48" i="44"/>
  <c r="E48" i="44"/>
  <c r="D48" i="44"/>
  <c r="F48" i="44"/>
  <c r="G51" i="24"/>
  <c r="B52" i="24"/>
  <c r="F51" i="24"/>
  <c r="E51" i="24"/>
  <c r="D51" i="24"/>
  <c r="C51" i="24"/>
  <c r="G84" i="24"/>
  <c r="B85" i="24"/>
  <c r="F84" i="24"/>
  <c r="D84" i="24"/>
  <c r="E84" i="24"/>
  <c r="C84" i="24"/>
  <c r="B27" i="17"/>
  <c r="A28" i="17"/>
  <c r="B132" i="17"/>
  <c r="A133" i="17"/>
  <c r="B133" i="17" s="1"/>
  <c r="K64" i="26" l="1"/>
  <c r="M63" i="26"/>
  <c r="F49" i="44"/>
  <c r="E49" i="44"/>
  <c r="D49" i="44"/>
  <c r="C49" i="44"/>
  <c r="B50" i="44"/>
  <c r="G85" i="24"/>
  <c r="B86" i="24"/>
  <c r="D85" i="24"/>
  <c r="E85" i="24"/>
  <c r="F85" i="24"/>
  <c r="C85" i="24"/>
  <c r="B53" i="24"/>
  <c r="G52" i="24"/>
  <c r="D52" i="24"/>
  <c r="F52" i="24"/>
  <c r="E52" i="24"/>
  <c r="C52" i="24"/>
  <c r="B28" i="17"/>
  <c r="A29" i="17"/>
  <c r="K65" i="26" l="1"/>
  <c r="M64" i="26"/>
  <c r="E50" i="44"/>
  <c r="F50" i="44"/>
  <c r="D50" i="44"/>
  <c r="C50" i="44"/>
  <c r="B51" i="44"/>
  <c r="B54" i="24"/>
  <c r="G53" i="24"/>
  <c r="E53" i="24"/>
  <c r="D53" i="24"/>
  <c r="F53" i="24"/>
  <c r="C53" i="24"/>
  <c r="G86" i="24"/>
  <c r="B87" i="24"/>
  <c r="E86" i="24"/>
  <c r="D86" i="24"/>
  <c r="F86" i="24"/>
  <c r="C86" i="24"/>
  <c r="B29" i="17"/>
  <c r="A30" i="17"/>
  <c r="K66" i="26" l="1"/>
  <c r="M65" i="26"/>
  <c r="D51" i="44"/>
  <c r="B52" i="44"/>
  <c r="F51" i="44"/>
  <c r="E51" i="44"/>
  <c r="C51" i="44"/>
  <c r="G87" i="24"/>
  <c r="B88" i="24"/>
  <c r="F87" i="24"/>
  <c r="D87" i="24"/>
  <c r="E87" i="24"/>
  <c r="C87" i="24"/>
  <c r="B55" i="24"/>
  <c r="G54" i="24"/>
  <c r="F54" i="24"/>
  <c r="D54" i="24"/>
  <c r="E54" i="24"/>
  <c r="C54" i="24"/>
  <c r="B30" i="17"/>
  <c r="A31" i="17"/>
  <c r="K67" i="26" l="1"/>
  <c r="M66" i="26"/>
  <c r="B53" i="44"/>
  <c r="C52" i="44"/>
  <c r="F52" i="44"/>
  <c r="E52" i="44"/>
  <c r="D52" i="44"/>
  <c r="G55" i="24"/>
  <c r="B56" i="24"/>
  <c r="F55" i="24"/>
  <c r="E55" i="24"/>
  <c r="D55" i="24"/>
  <c r="C55" i="24"/>
  <c r="G88" i="24"/>
  <c r="B89" i="24"/>
  <c r="E88" i="24"/>
  <c r="F88" i="24"/>
  <c r="D88" i="24"/>
  <c r="C88" i="24"/>
  <c r="B31" i="17"/>
  <c r="A32" i="17"/>
  <c r="K68" i="26" l="1"/>
  <c r="M67" i="26"/>
  <c r="F53" i="44"/>
  <c r="E53" i="44"/>
  <c r="D53" i="44"/>
  <c r="C53" i="44"/>
  <c r="B54" i="44"/>
  <c r="G89" i="24"/>
  <c r="B90" i="24"/>
  <c r="D89" i="24"/>
  <c r="F89" i="24"/>
  <c r="E89" i="24"/>
  <c r="C89" i="24"/>
  <c r="B57" i="24"/>
  <c r="G56" i="24"/>
  <c r="F56" i="24"/>
  <c r="D56" i="24"/>
  <c r="E56" i="24"/>
  <c r="C56" i="24"/>
  <c r="B32" i="17"/>
  <c r="A33" i="17"/>
  <c r="K69" i="26" l="1"/>
  <c r="M68" i="26"/>
  <c r="E54" i="44"/>
  <c r="D54" i="44"/>
  <c r="B55" i="44"/>
  <c r="F54" i="44"/>
  <c r="C54" i="44"/>
  <c r="B58" i="24"/>
  <c r="G57" i="24"/>
  <c r="D57" i="24"/>
  <c r="F57" i="24"/>
  <c r="E57" i="24"/>
  <c r="C57" i="24"/>
  <c r="G90" i="24"/>
  <c r="B91" i="24"/>
  <c r="D90" i="24"/>
  <c r="F90" i="24"/>
  <c r="E90" i="24"/>
  <c r="C90" i="24"/>
  <c r="B33" i="17"/>
  <c r="A34" i="17"/>
  <c r="K70" i="26" l="1"/>
  <c r="M69" i="26"/>
  <c r="D55" i="44"/>
  <c r="B56" i="44"/>
  <c r="C55" i="44"/>
  <c r="F55" i="44"/>
  <c r="E55" i="44"/>
  <c r="B59" i="24"/>
  <c r="G58" i="24"/>
  <c r="F58" i="24"/>
  <c r="D58" i="24"/>
  <c r="E58" i="24"/>
  <c r="C58" i="24"/>
  <c r="G91" i="24"/>
  <c r="B92" i="24"/>
  <c r="E91" i="24"/>
  <c r="F91" i="24"/>
  <c r="D91" i="24"/>
  <c r="C91" i="24"/>
  <c r="B34" i="17"/>
  <c r="A35" i="17"/>
  <c r="K71" i="26" l="1"/>
  <c r="M70" i="26"/>
  <c r="B57" i="44"/>
  <c r="C56" i="44"/>
  <c r="F56" i="44"/>
  <c r="E56" i="44"/>
  <c r="D56" i="44"/>
  <c r="G59" i="24"/>
  <c r="F59" i="24"/>
  <c r="D59" i="24"/>
  <c r="E59" i="24"/>
  <c r="C59" i="24"/>
  <c r="G92" i="24"/>
  <c r="B93" i="24"/>
  <c r="D92" i="24"/>
  <c r="F92" i="24"/>
  <c r="E92" i="24"/>
  <c r="C92" i="24"/>
  <c r="B35" i="17"/>
  <c r="A36" i="17"/>
  <c r="K72" i="26" l="1"/>
  <c r="M71" i="26"/>
  <c r="F57" i="44"/>
  <c r="E57" i="44"/>
  <c r="B58" i="44"/>
  <c r="D57" i="44"/>
  <c r="C57" i="44"/>
  <c r="G93" i="24"/>
  <c r="B94" i="24"/>
  <c r="F93" i="24"/>
  <c r="E93" i="24"/>
  <c r="D93" i="24"/>
  <c r="C93" i="24"/>
  <c r="B36" i="17"/>
  <c r="A37" i="17"/>
  <c r="K73" i="26" l="1"/>
  <c r="M72" i="26"/>
  <c r="E58" i="44"/>
  <c r="D58" i="44"/>
  <c r="C58" i="44"/>
  <c r="B59" i="44"/>
  <c r="F58" i="44"/>
  <c r="G94" i="24"/>
  <c r="B95" i="24"/>
  <c r="F94" i="24"/>
  <c r="D94" i="24"/>
  <c r="E94" i="24"/>
  <c r="C94" i="24"/>
  <c r="B37" i="17"/>
  <c r="A38" i="17"/>
  <c r="K74" i="26" l="1"/>
  <c r="M73" i="26"/>
  <c r="D59" i="44"/>
  <c r="B60" i="44"/>
  <c r="C59" i="44"/>
  <c r="F59" i="44"/>
  <c r="E59" i="44"/>
  <c r="G95" i="24"/>
  <c r="B96" i="24"/>
  <c r="E95" i="24"/>
  <c r="D95" i="24"/>
  <c r="F95" i="24"/>
  <c r="C95" i="24"/>
  <c r="B38" i="17"/>
  <c r="A39" i="17"/>
  <c r="K75" i="26" l="1"/>
  <c r="M74" i="26"/>
  <c r="B61" i="44"/>
  <c r="C60" i="44"/>
  <c r="F60" i="44"/>
  <c r="E60" i="44"/>
  <c r="D60" i="44"/>
  <c r="G96" i="24"/>
  <c r="B97" i="24"/>
  <c r="E96" i="24"/>
  <c r="F96" i="24"/>
  <c r="D96" i="24"/>
  <c r="C96" i="24"/>
  <c r="B39" i="17"/>
  <c r="A40" i="17"/>
  <c r="K76" i="26" l="1"/>
  <c r="M75" i="26"/>
  <c r="F61" i="44"/>
  <c r="E61" i="44"/>
  <c r="D61" i="44"/>
  <c r="C61" i="44"/>
  <c r="B62" i="44"/>
  <c r="G97" i="24"/>
  <c r="B98" i="24"/>
  <c r="F97" i="24"/>
  <c r="D97" i="24"/>
  <c r="E97" i="24"/>
  <c r="C97" i="24"/>
  <c r="B40" i="17"/>
  <c r="A41" i="17"/>
  <c r="K77" i="26" l="1"/>
  <c r="M77" i="26" s="1"/>
  <c r="M76" i="26"/>
  <c r="E62" i="44"/>
  <c r="D62" i="44"/>
  <c r="B63" i="44"/>
  <c r="F62" i="44"/>
  <c r="C62" i="44"/>
  <c r="G98" i="24"/>
  <c r="B99" i="24"/>
  <c r="F98" i="24"/>
  <c r="D98" i="24"/>
  <c r="E98" i="24"/>
  <c r="C98" i="24"/>
  <c r="B41" i="17"/>
  <c r="A42" i="17"/>
  <c r="D63" i="44" l="1"/>
  <c r="B64" i="44"/>
  <c r="C63" i="44"/>
  <c r="F63" i="44"/>
  <c r="E63" i="44"/>
  <c r="G99" i="24"/>
  <c r="B100" i="24"/>
  <c r="D99" i="24"/>
  <c r="F99" i="24"/>
  <c r="E99" i="24"/>
  <c r="C99" i="24"/>
  <c r="B42" i="17"/>
  <c r="A43" i="17"/>
  <c r="B65" i="44" l="1"/>
  <c r="C64" i="44"/>
  <c r="F64" i="44"/>
  <c r="E64" i="44"/>
  <c r="D64" i="44"/>
  <c r="G100" i="24"/>
  <c r="F100" i="24"/>
  <c r="E100" i="24"/>
  <c r="D100" i="24"/>
  <c r="C100" i="24"/>
  <c r="B43" i="17"/>
  <c r="A44" i="17"/>
  <c r="F65" i="44" l="1"/>
  <c r="E65" i="44"/>
  <c r="B66" i="44"/>
  <c r="D65" i="44"/>
  <c r="C65" i="44"/>
  <c r="B44" i="17"/>
  <c r="A45" i="17"/>
  <c r="E66" i="44" l="1"/>
  <c r="D66" i="44"/>
  <c r="C66" i="44"/>
  <c r="F66" i="44"/>
  <c r="B45" i="17"/>
  <c r="A46" i="17"/>
  <c r="B46" i="17" l="1"/>
  <c r="A47" i="17"/>
  <c r="B47" i="17" l="1"/>
  <c r="A48" i="17"/>
  <c r="B48" i="17" l="1"/>
  <c r="A49" i="17"/>
  <c r="B49" i="17" l="1"/>
  <c r="A50" i="17"/>
  <c r="B50" i="17" l="1"/>
  <c r="A51" i="17"/>
  <c r="B51" i="17" l="1"/>
  <c r="A52" i="17"/>
  <c r="B52" i="17" l="1"/>
  <c r="A53" i="17"/>
  <c r="B53" i="17" l="1"/>
  <c r="A54" i="17"/>
  <c r="B54" i="17" l="1"/>
  <c r="A55" i="17"/>
  <c r="B55" i="17" l="1"/>
  <c r="A56" i="17"/>
  <c r="B56" i="17" l="1"/>
  <c r="A57" i="17"/>
  <c r="B57" i="17" l="1"/>
  <c r="A58" i="17"/>
  <c r="B58" i="17" l="1"/>
  <c r="A59" i="17"/>
  <c r="B59" i="17" l="1"/>
  <c r="A60" i="17"/>
  <c r="B60" i="17" l="1"/>
  <c r="A61" i="17"/>
  <c r="B61" i="17" l="1"/>
  <c r="A62" i="17"/>
  <c r="B62" i="17" l="1"/>
  <c r="A63" i="17"/>
  <c r="B63" i="17" l="1"/>
  <c r="A64" i="17"/>
  <c r="B64" i="17" l="1"/>
  <c r="A65" i="17"/>
  <c r="B65" i="17" l="1"/>
  <c r="A66" i="17"/>
  <c r="B66" i="17" l="1"/>
  <c r="A67" i="17"/>
  <c r="B67" i="17" l="1"/>
  <c r="A68" i="17"/>
  <c r="B68" i="17" l="1"/>
  <c r="A69" i="17"/>
  <c r="B69" i="17" l="1"/>
  <c r="A70" i="17"/>
  <c r="B70" i="17" l="1"/>
  <c r="A71" i="17"/>
  <c r="B71" i="17" l="1"/>
  <c r="A72" i="17"/>
  <c r="B72" i="17" l="1"/>
  <c r="A73" i="17"/>
  <c r="B73" i="17" l="1"/>
  <c r="A74" i="17"/>
  <c r="B74" i="17" l="1"/>
  <c r="A75" i="17"/>
  <c r="B75" i="17" l="1"/>
  <c r="A76" i="17"/>
  <c r="B76" i="17" l="1"/>
  <c r="A77" i="17"/>
  <c r="B77" i="17" l="1"/>
  <c r="A78" i="17"/>
  <c r="B78" i="17" l="1"/>
  <c r="A79" i="17"/>
  <c r="B79" i="17" l="1"/>
  <c r="A80" i="17"/>
  <c r="B80" i="17" l="1"/>
  <c r="A81" i="17"/>
  <c r="B81" i="17" l="1"/>
  <c r="A82" i="17"/>
  <c r="B82" i="17" l="1"/>
  <c r="A83" i="17"/>
  <c r="B83" i="17" l="1"/>
  <c r="A84" i="17"/>
  <c r="B84" i="17" l="1"/>
  <c r="A85" i="17"/>
  <c r="B85" i="17" l="1"/>
  <c r="A86" i="17"/>
  <c r="B86" i="17" l="1"/>
  <c r="A87" i="17"/>
  <c r="B87" i="17" l="1"/>
  <c r="A88" i="17"/>
  <c r="B88" i="17" l="1"/>
  <c r="A89" i="17"/>
  <c r="B89" i="17" l="1"/>
  <c r="A90" i="17"/>
  <c r="B90" i="17" l="1"/>
  <c r="A91" i="17"/>
  <c r="B91" i="17" l="1"/>
  <c r="A92" i="17"/>
  <c r="B92" i="17" l="1"/>
  <c r="A93" i="17"/>
  <c r="B93" i="17" l="1"/>
  <c r="A94" i="17"/>
  <c r="B94" i="17" l="1"/>
  <c r="A95" i="17"/>
  <c r="B95" i="17" l="1"/>
  <c r="A96" i="17"/>
  <c r="B96" i="17" l="1"/>
  <c r="A97" i="17"/>
  <c r="B97" i="17" l="1"/>
  <c r="A98" i="17"/>
  <c r="B98" i="17" l="1"/>
  <c r="A99" i="17"/>
  <c r="B99" i="17" l="1"/>
  <c r="A100" i="17"/>
  <c r="B100" i="17" l="1"/>
  <c r="A101" i="17"/>
  <c r="B101" i="17" l="1"/>
  <c r="A102" i="17"/>
  <c r="B102" i="17" l="1"/>
  <c r="A103" i="17"/>
  <c r="B103" i="17" l="1"/>
  <c r="A104" i="17"/>
  <c r="B104" i="17" s="1"/>
</calcChain>
</file>

<file path=xl/sharedStrings.xml><?xml version="1.0" encoding="utf-8"?>
<sst xmlns="http://schemas.openxmlformats.org/spreadsheetml/2006/main" count="5172" uniqueCount="1741">
  <si>
    <t>Table of Contents</t>
  </si>
  <si>
    <t>Results of Marketing Campaign</t>
  </si>
  <si>
    <t>(sales in millions of euros)</t>
  </si>
  <si>
    <t>Brand A</t>
  </si>
  <si>
    <t>Brand B</t>
  </si>
  <si>
    <t>Brand C</t>
  </si>
  <si>
    <t>London</t>
  </si>
  <si>
    <t>Paris</t>
  </si>
  <si>
    <t>Rome</t>
  </si>
  <si>
    <t>Madrid</t>
  </si>
  <si>
    <t>Vienna</t>
  </si>
  <si>
    <t>Berlin</t>
  </si>
  <si>
    <t>Total</t>
  </si>
  <si>
    <t>Average Income by Age</t>
  </si>
  <si>
    <t>Equipment Sales</t>
  </si>
  <si>
    <t>Unit Price</t>
  </si>
  <si>
    <t>Quantity</t>
  </si>
  <si>
    <t>Revenue</t>
  </si>
  <si>
    <t>Desks</t>
  </si>
  <si>
    <t>Lamps</t>
  </si>
  <si>
    <t>Chairs</t>
  </si>
  <si>
    <t>Pen Sets</t>
  </si>
  <si>
    <t>Age</t>
  </si>
  <si>
    <t>Income</t>
  </si>
  <si>
    <t>Transpose</t>
  </si>
  <si>
    <t>Area Code</t>
  </si>
  <si>
    <t>Population</t>
  </si>
  <si>
    <t>Frequency/Distribution Functions</t>
  </si>
  <si>
    <t>x</t>
  </si>
  <si>
    <t>f(x)</t>
  </si>
  <si>
    <t>F(x)</t>
  </si>
  <si>
    <t>Frequency Function</t>
  </si>
  <si>
    <t>f</t>
  </si>
  <si>
    <t>Geometric Mean</t>
  </si>
  <si>
    <t>If you earn 5% interest in year 1, 8% in year 2 and 10% interest in year 3, the average interest is given by the geometric mean</t>
  </si>
  <si>
    <t>Interest - year 1</t>
  </si>
  <si>
    <t>Int1</t>
  </si>
  <si>
    <t>Interest - year 2</t>
  </si>
  <si>
    <t>Int2</t>
  </si>
  <si>
    <t>Interest - year 3</t>
  </si>
  <si>
    <t>Int3</t>
  </si>
  <si>
    <t>Return from year 1</t>
  </si>
  <si>
    <t>= 1 + Int1</t>
  </si>
  <si>
    <t>Return from year 2</t>
  </si>
  <si>
    <t>= 1 + Int2</t>
  </si>
  <si>
    <t>Return from year 3</t>
  </si>
  <si>
    <t>= 1 + Int3</t>
  </si>
  <si>
    <t>Return after year 1</t>
  </si>
  <si>
    <t>= 1 +  Int1</t>
  </si>
  <si>
    <t>Return after year 2</t>
  </si>
  <si>
    <t>= (1 + Int1) * (1 + Int2)</t>
  </si>
  <si>
    <t>Return after year 3</t>
  </si>
  <si>
    <t>= (1 + Int1) * (1 + Int2) * (1 + Int3)</t>
  </si>
  <si>
    <t>Average annual return</t>
  </si>
  <si>
    <t>= SQRT((1 + Int1) * (1 + Int2) * (1 + Int3)) = GEOMEAN(1 + Int1, 1+ Int2, 1 + Int3)</t>
  </si>
  <si>
    <t>Average interest</t>
  </si>
  <si>
    <t>= 1 - Average annual return</t>
  </si>
  <si>
    <t>Total return</t>
  </si>
  <si>
    <t>= (1 + Average Interest) ^ 3 = Return after 3 years as calculated above</t>
  </si>
  <si>
    <t>Combined sample</t>
  </si>
  <si>
    <t>sample 1</t>
  </si>
  <si>
    <t>sample 2</t>
  </si>
  <si>
    <t>combined</t>
  </si>
  <si>
    <t>mean</t>
  </si>
  <si>
    <t>size</t>
  </si>
  <si>
    <t>var</t>
  </si>
  <si>
    <t>stdev</t>
  </si>
  <si>
    <t>Rank and Percentile</t>
  </si>
  <si>
    <t>Point</t>
  </si>
  <si>
    <t>Scores</t>
  </si>
  <si>
    <t>Rank</t>
  </si>
  <si>
    <t>Percent</t>
  </si>
  <si>
    <t>Descriptive Statistics data analysis tool</t>
  </si>
  <si>
    <t>Calculations using Excel functions</t>
  </si>
  <si>
    <t>Calculation of MAD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</si>
  <si>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</si>
  <si>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</si>
  <si>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</si>
  <si>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</si>
  <si>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</si>
  <si>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</si>
  <si>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</si>
  <si>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</si>
  <si>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</si>
  <si>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</si>
  <si>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</si>
  <si>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</si>
  <si>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</si>
  <si>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Geometric mean</t>
  </si>
  <si>
    <t>Harmonic mean</t>
  </si>
  <si>
    <t>Harmonic Mean</t>
  </si>
  <si>
    <t>AAD</t>
  </si>
  <si>
    <t>MAD</t>
  </si>
  <si>
    <t>IQR</t>
  </si>
  <si>
    <t>Descriptive Statistics</t>
  </si>
  <si>
    <t>Two sample example using Descriptive Statistics data analysis tool</t>
  </si>
  <si>
    <t>Sample 1</t>
  </si>
  <si>
    <t>Sample 2</t>
  </si>
  <si>
    <t>Mean and Variance based on Frequency Tables</t>
  </si>
  <si>
    <t>freq</t>
  </si>
  <si>
    <t>fx</t>
  </si>
  <si>
    <r>
      <t>fx</t>
    </r>
    <r>
      <rPr>
        <vertAlign val="superscript"/>
        <sz val="11"/>
        <color theme="1"/>
        <rFont val="Calibri"/>
        <family val="2"/>
        <scheme val="minor"/>
      </rPr>
      <t>2</t>
    </r>
  </si>
  <si>
    <t>lower</t>
  </si>
  <si>
    <t>upper</t>
  </si>
  <si>
    <t>midpt</t>
  </si>
  <si>
    <t>n</t>
  </si>
  <si>
    <t>Frequency</t>
  </si>
  <si>
    <t>Bins</t>
  </si>
  <si>
    <t>over 80</t>
  </si>
  <si>
    <t>Histogram data analysis tool</t>
  </si>
  <si>
    <t>Bin</t>
  </si>
  <si>
    <t>More</t>
  </si>
  <si>
    <t>Power</t>
  </si>
  <si>
    <t>Sample size for t-test (single sample)</t>
  </si>
  <si>
    <t>Alpha</t>
  </si>
  <si>
    <t>Effect Size</t>
  </si>
  <si>
    <t>Normal distribution</t>
  </si>
  <si>
    <t>IQ Score</t>
  </si>
  <si>
    <t>z-scores</t>
  </si>
  <si>
    <t>Comparing the IQ of two populations</t>
  </si>
  <si>
    <t>One with standard IQ scores, the other with a mean 16 points higher</t>
  </si>
  <si>
    <t>P1</t>
  </si>
  <si>
    <t>P2</t>
  </si>
  <si>
    <t>IQ Example - mean = 100, std dev = 16</t>
  </si>
  <si>
    <t>z</t>
  </si>
  <si>
    <t>Conversion from frequency table</t>
  </si>
  <si>
    <t>Frequency Table</t>
  </si>
  <si>
    <t>Raw Data (with duplicates)</t>
  </si>
  <si>
    <t>Score</t>
  </si>
  <si>
    <t>Freq</t>
  </si>
  <si>
    <t>Cum</t>
  </si>
  <si>
    <t>Row</t>
  </si>
  <si>
    <t>Alternative Version</t>
  </si>
  <si>
    <t>Raw Data</t>
  </si>
  <si>
    <t>Method 1</t>
  </si>
  <si>
    <t>Method 2</t>
  </si>
  <si>
    <t>a</t>
  </si>
  <si>
    <t>b</t>
  </si>
  <si>
    <t>c</t>
  </si>
  <si>
    <t>d</t>
  </si>
  <si>
    <t>α</t>
  </si>
  <si>
    <t>Boxplot (aka box and whiskers plot)</t>
  </si>
  <si>
    <t>Min</t>
  </si>
  <si>
    <t>Q1-Min</t>
  </si>
  <si>
    <t>Med-Q1</t>
  </si>
  <si>
    <t>Q3-Med</t>
  </si>
  <si>
    <t>Max-Q3</t>
  </si>
  <si>
    <t>Boxplot - Alternative Approach</t>
  </si>
  <si>
    <t>Q1</t>
  </si>
  <si>
    <t>T- vs Normal Distribution</t>
  </si>
  <si>
    <t>Calculating the pdf of the t-distribution</t>
  </si>
  <si>
    <t>k</t>
  </si>
  <si>
    <t>(k+1)/2</t>
  </si>
  <si>
    <t>k/2</t>
  </si>
  <si>
    <t>Gamma((k+1)/2)</t>
  </si>
  <si>
    <t>Gamma(k/2)</t>
  </si>
  <si>
    <t>Sqrt(pi*k)</t>
  </si>
  <si>
    <t>Constant</t>
  </si>
  <si>
    <t>norm</t>
  </si>
  <si>
    <t>One sample t test</t>
  </si>
  <si>
    <t>Subject</t>
  </si>
  <si>
    <t>Weight Loss</t>
  </si>
  <si>
    <t>=COUNT(B4:B15)</t>
  </si>
  <si>
    <t>=AVERAGE(B4:B15)</t>
  </si>
  <si>
    <t>Std Dev</t>
  </si>
  <si>
    <t>Std Err</t>
  </si>
  <si>
    <t>=E5/SQRT(E3)</t>
  </si>
  <si>
    <t>Hyp Mean</t>
  </si>
  <si>
    <t>df</t>
  </si>
  <si>
    <t>=E3-1</t>
  </si>
  <si>
    <t>t stat</t>
  </si>
  <si>
    <t>=(E4-E8)/E6</t>
  </si>
  <si>
    <t>p value</t>
  </si>
  <si>
    <t>t crit</t>
  </si>
  <si>
    <t>Normal</t>
  </si>
  <si>
    <t>T Test: One Sample</t>
  </si>
  <si>
    <t>SUMMARY</t>
  </si>
  <si>
    <t>t</t>
  </si>
  <si>
    <t>Cohen d</t>
  </si>
  <si>
    <t>Effect r</t>
  </si>
  <si>
    <t>T TEST</t>
  </si>
  <si>
    <t xml:space="preserve"> </t>
  </si>
  <si>
    <t>p-value</t>
  </si>
  <si>
    <t>t-crit</t>
  </si>
  <si>
    <t>reject</t>
  </si>
  <si>
    <t>One Tail</t>
  </si>
  <si>
    <t>Two Tail</t>
  </si>
  <si>
    <t>Sample Data</t>
  </si>
  <si>
    <t>Column1</t>
  </si>
  <si>
    <t>Confidence Level(95.0%)</t>
  </si>
  <si>
    <t>Group 1</t>
  </si>
  <si>
    <t>QQ Tables</t>
  </si>
  <si>
    <t>Interval</t>
  </si>
  <si>
    <t>Data</t>
  </si>
  <si>
    <t>Std Data</t>
  </si>
  <si>
    <t>Raw data</t>
  </si>
  <si>
    <t>T test: two independent samples</t>
  </si>
  <si>
    <t>New</t>
  </si>
  <si>
    <t>Old</t>
  </si>
  <si>
    <t>std dev</t>
  </si>
  <si>
    <t>T Test: Two Independent Samples</t>
  </si>
  <si>
    <t>t-Test: Two-Sample Assuming Equal Variances</t>
  </si>
  <si>
    <t>Hyp Mean Diff</t>
  </si>
  <si>
    <t>Groups</t>
  </si>
  <si>
    <t>Variance</t>
  </si>
  <si>
    <t>Observations</t>
  </si>
  <si>
    <t>Pooled</t>
  </si>
  <si>
    <t>Pooled Variance</t>
  </si>
  <si>
    <t>Hypothesized Mean Difference</t>
  </si>
  <si>
    <t>T TEST: Equal Variances</t>
  </si>
  <si>
    <t>t Stat</t>
  </si>
  <si>
    <t>P(T&lt;=t) one-tail</t>
  </si>
  <si>
    <t>t Critical one-tail</t>
  </si>
  <si>
    <t>P(T&lt;=t) two-tail</t>
  </si>
  <si>
    <t>T TEST: Unequal Variances</t>
  </si>
  <si>
    <t>t Critical two-tail</t>
  </si>
  <si>
    <t>t-Test: Two-Sample Assuming Unequal Variances</t>
  </si>
  <si>
    <t>TTEST</t>
  </si>
  <si>
    <t>Control</t>
  </si>
  <si>
    <t>Drug</t>
  </si>
  <si>
    <r>
      <t>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: ρ = 0</t>
    </r>
  </si>
  <si>
    <t>Two sample t test with paired samples</t>
  </si>
  <si>
    <t>Person</t>
  </si>
  <si>
    <t>Before</t>
  </si>
  <si>
    <t>After</t>
  </si>
  <si>
    <t>Difference</t>
  </si>
  <si>
    <t>t-Test: Paired Two Sample for Means</t>
  </si>
  <si>
    <t>Pearson Correlation</t>
  </si>
  <si>
    <t>sample size n</t>
  </si>
  <si>
    <t>=COUNT(D4:D18)</t>
  </si>
  <si>
    <t xml:space="preserve">s.e. = std dev / sqrt(n) </t>
  </si>
  <si>
    <t>=D21/SQRT(D23)</t>
  </si>
  <si>
    <t>t = mean / s.e.</t>
  </si>
  <si>
    <t>=(D20-0)/D24</t>
  </si>
  <si>
    <t>df = n-1</t>
  </si>
  <si>
    <t>=D23-1</t>
  </si>
  <si>
    <t>=TDIST(D25,D26,2)</t>
  </si>
  <si>
    <t>=TTEST(B4:B18,C4:C18,2,1)</t>
  </si>
  <si>
    <t>=TINV(0.05,D26)</t>
  </si>
  <si>
    <t>Compared to independent samples</t>
  </si>
  <si>
    <t>Indep</t>
  </si>
  <si>
    <t>Paired</t>
  </si>
  <si>
    <t>Mean Difference</t>
  </si>
  <si>
    <t>t-stat</t>
  </si>
  <si>
    <t>p-value (two-tail)</t>
  </si>
  <si>
    <t>T Test: Two Paired Samples</t>
  </si>
  <si>
    <t>Null Hyp</t>
  </si>
  <si>
    <t>n1</t>
  </si>
  <si>
    <t>n2</t>
  </si>
  <si>
    <t>Binomial distribution</t>
  </si>
  <si>
    <t>p</t>
  </si>
  <si>
    <t>Proportion distribution</t>
  </si>
  <si>
    <t>Chi-square distribution</t>
  </si>
  <si>
    <t>Calculating the pdf</t>
  </si>
  <si>
    <t>df = 5</t>
  </si>
  <si>
    <t>df = 10</t>
  </si>
  <si>
    <t>Chi-Square Test</t>
  </si>
  <si>
    <t>Goodness of Fit</t>
  </si>
  <si>
    <t>Sample</t>
  </si>
  <si>
    <t>One sample testing of variance</t>
  </si>
  <si>
    <t>var (pop)</t>
  </si>
  <si>
    <t>var (sample)</t>
  </si>
  <si>
    <t>alpha</t>
  </si>
  <si>
    <t>std dev (pop)</t>
  </si>
  <si>
    <t>chi-sq</t>
  </si>
  <si>
    <t>std dev (sample)</t>
  </si>
  <si>
    <t>Zone</t>
  </si>
  <si>
    <t>Female</t>
  </si>
  <si>
    <t>Expected Sample</t>
  </si>
  <si>
    <t>=CHITEST(B4:B11,E4:E11)</t>
  </si>
  <si>
    <t>Σ(O-E)^2/E</t>
  </si>
  <si>
    <t>χ2</t>
  </si>
  <si>
    <t>χ2-crit</t>
  </si>
  <si>
    <t>Hits/min</t>
  </si>
  <si>
    <t>Hits x Count</t>
  </si>
  <si>
    <t>Poisson</t>
  </si>
  <si>
    <t>x-crit</t>
  </si>
  <si>
    <t>λ (mean)</t>
  </si>
  <si>
    <t>Die</t>
  </si>
  <si>
    <t>Obs</t>
  </si>
  <si>
    <t>Exp</t>
  </si>
  <si>
    <t>Chi-square Test</t>
  </si>
  <si>
    <t>Observed Values</t>
  </si>
  <si>
    <t>Expected Values</t>
  </si>
  <si>
    <t>Using MMULT</t>
  </si>
  <si>
    <t>Therapy 1</t>
  </si>
  <si>
    <t>Therapy 2</t>
  </si>
  <si>
    <t>Cured</t>
  </si>
  <si>
    <t>Not Cured</t>
  </si>
  <si>
    <t>Maximum Likelihood Test</t>
  </si>
  <si>
    <r>
      <rPr>
        <sz val="11"/>
        <color theme="1"/>
        <rFont val="Calibri"/>
        <family val="2"/>
      </rPr>
      <t xml:space="preserve">Σ </t>
    </r>
    <r>
      <rPr>
        <sz val="11"/>
        <color theme="1"/>
        <rFont val="Calibri"/>
        <family val="2"/>
        <scheme val="minor"/>
      </rPr>
      <t>(Observed - Expected) ^ 2 / Expected</t>
    </r>
  </si>
  <si>
    <r>
      <t xml:space="preserve">2 </t>
    </r>
    <r>
      <rPr>
        <sz val="11"/>
        <color theme="1"/>
        <rFont val="Calibri"/>
        <family val="2"/>
      </rPr>
      <t xml:space="preserve">Σ </t>
    </r>
    <r>
      <rPr>
        <sz val="11"/>
        <color theme="1"/>
        <rFont val="Calibri"/>
        <family val="2"/>
        <scheme val="minor"/>
      </rPr>
      <t>Observed * ln (Observed / Expected)</t>
    </r>
  </si>
  <si>
    <t>χ2 =</t>
  </si>
  <si>
    <t>(Observed - Expected) ^ 2 / Expected</t>
  </si>
  <si>
    <t>Wealthy</t>
  </si>
  <si>
    <t>Middle Class</t>
  </si>
  <si>
    <t>Poor</t>
  </si>
  <si>
    <t>High Sch</t>
  </si>
  <si>
    <t>Univ</t>
  </si>
  <si>
    <t>None</t>
  </si>
  <si>
    <t>Expected Values (using MMULT)</t>
  </si>
  <si>
    <t>Observed</t>
  </si>
  <si>
    <t>Effect size</t>
  </si>
  <si>
    <t>Risk %</t>
  </si>
  <si>
    <t>Odds</t>
  </si>
  <si>
    <t>Ratio</t>
  </si>
  <si>
    <t>Male</t>
  </si>
  <si>
    <t>B</t>
  </si>
  <si>
    <t>C</t>
  </si>
  <si>
    <t>D</t>
  </si>
  <si>
    <t>F</t>
  </si>
  <si>
    <t>Odds Ratio</t>
  </si>
  <si>
    <t>Rows</t>
  </si>
  <si>
    <t>Cols</t>
  </si>
  <si>
    <t>CHI-SQUARE</t>
  </si>
  <si>
    <t>Pearson's</t>
  </si>
  <si>
    <t>Cramer V</t>
  </si>
  <si>
    <t>Max likelihood</t>
  </si>
  <si>
    <t xml:space="preserve">r </t>
  </si>
  <si>
    <r>
      <t>s</t>
    </r>
    <r>
      <rPr>
        <vertAlign val="subscript"/>
        <sz val="11"/>
        <color theme="1"/>
        <rFont val="Calibri"/>
        <family val="2"/>
        <scheme val="minor"/>
      </rPr>
      <t>r</t>
    </r>
  </si>
  <si>
    <t xml:space="preserve">t </t>
  </si>
  <si>
    <t xml:space="preserve">df </t>
  </si>
  <si>
    <t>y</t>
  </si>
  <si>
    <r>
      <t xml:space="preserve">Correlation Testing </t>
    </r>
    <r>
      <rPr>
        <sz val="11"/>
        <color theme="1"/>
        <rFont val="Calibri"/>
        <family val="2"/>
        <scheme val="minor"/>
      </rPr>
      <t>(using dichotomous independent variable)</t>
    </r>
  </si>
  <si>
    <t>=CORREL(Y3:AV3,Y4:AV4)</t>
  </si>
  <si>
    <t>=SQRT((1-AY3^2)/AY6)</t>
  </si>
  <si>
    <t>=(AY3-0)/AY4</t>
  </si>
  <si>
    <t>=COUNT(Y3:AV3)-2</t>
  </si>
  <si>
    <t>=TDIST(AY5,AY6,2)</t>
  </si>
  <si>
    <t>=IF(AY8&lt;AY7,"yes","no")</t>
  </si>
  <si>
    <t>Poverty</t>
  </si>
  <si>
    <t>Infant Mort</t>
  </si>
  <si>
    <t>White</t>
  </si>
  <si>
    <t>Crime</t>
  </si>
  <si>
    <t>Doctors</t>
  </si>
  <si>
    <t>Traf Deaths</t>
  </si>
  <si>
    <t>University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</si>
  <si>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</si>
  <si>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</si>
  <si>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</si>
  <si>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</si>
  <si>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</si>
  <si>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</si>
  <si>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</si>
  <si>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</si>
  <si>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</si>
  <si>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</si>
  <si>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</si>
  <si>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</si>
  <si>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</si>
  <si>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</si>
  <si>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</si>
  <si>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</si>
  <si>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</si>
  <si>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</si>
  <si>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</si>
  <si>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State</t>
  </si>
  <si>
    <t>z-crit</t>
  </si>
  <si>
    <t>std error</t>
  </si>
  <si>
    <t>A</t>
  </si>
  <si>
    <t>count</t>
  </si>
  <si>
    <t>Skewness and Kurtosis</t>
  </si>
  <si>
    <t>SS</t>
  </si>
  <si>
    <t>Sorted</t>
  </si>
  <si>
    <t>F-crit</t>
  </si>
  <si>
    <t>Confidence interval</t>
  </si>
  <si>
    <t>Percentile</t>
  </si>
  <si>
    <t>Men</t>
  </si>
  <si>
    <t>Women</t>
  </si>
  <si>
    <t>Comparison</t>
  </si>
  <si>
    <t>df1</t>
  </si>
  <si>
    <t>df2</t>
  </si>
  <si>
    <t>s.e.</t>
  </si>
  <si>
    <t>Two Sample Variance Testing</t>
  </si>
  <si>
    <t>F-Test Two-Sample for Variances</t>
  </si>
  <si>
    <t>P(F&lt;=f) one-tail</t>
  </si>
  <si>
    <t>F Critical one-tail</t>
  </si>
  <si>
    <t>Excel data analysis tool</t>
  </si>
  <si>
    <t>Two-sample F-test for variances (two-tailed)</t>
  </si>
  <si>
    <t>x̄</t>
  </si>
  <si>
    <t>F crit</t>
  </si>
  <si>
    <t>sig</t>
  </si>
  <si>
    <t>m</t>
  </si>
  <si>
    <t>median</t>
  </si>
  <si>
    <t>Means</t>
  </si>
  <si>
    <t>Gender</t>
  </si>
  <si>
    <t>Summary</t>
  </si>
  <si>
    <t>= (1.05)(1.05)(1.1)(1.1)</t>
  </si>
  <si>
    <t>= 1.334025 ^ 0.25 -1</t>
  </si>
  <si>
    <t>= GEOMEAN(1.05,1.05,1.1,1.1) - 1</t>
  </si>
  <si>
    <t>effect</t>
  </si>
  <si>
    <t>Single Sample Hypothesis Testing of the Mean</t>
  </si>
  <si>
    <t>population</t>
  </si>
  <si>
    <t>test</t>
  </si>
  <si>
    <t>tails</t>
  </si>
  <si>
    <t>right crit</t>
  </si>
  <si>
    <t>sample size</t>
  </si>
  <si>
    <t>power</t>
  </si>
  <si>
    <t>beta</t>
  </si>
  <si>
    <t>Calculate power for given effect size</t>
  </si>
  <si>
    <t>What mean can be detected with power .80</t>
  </si>
  <si>
    <t>What sample size is needed to achieve power of .80 for given value of mean</t>
  </si>
  <si>
    <t>What sample size is needed to achieve power of .80 for given effect size</t>
  </si>
  <si>
    <t>sample mean</t>
  </si>
  <si>
    <t>Sample size</t>
  </si>
  <si>
    <t>Hypothetic mean</t>
  </si>
  <si>
    <t>Standard deviation</t>
  </si>
  <si>
    <t>Actual mean</t>
  </si>
  <si>
    <t>Beta</t>
  </si>
  <si>
    <t>Right critical value</t>
  </si>
  <si>
    <t>Power - Normal Distribution (What if analysis)</t>
  </si>
  <si>
    <t>Standard error</t>
  </si>
  <si>
    <t>=B4/SQRT(B6)</t>
  </si>
  <si>
    <t>=B3+B9*B4</t>
  </si>
  <si>
    <t>=1-B11</t>
  </si>
  <si>
    <t>=B3+B8*B7</t>
  </si>
  <si>
    <t>t-critical</t>
  </si>
  <si>
    <t>Mean at t-critical</t>
  </si>
  <si>
    <t>=(B11-B3)/B4</t>
  </si>
  <si>
    <t>%</t>
  </si>
  <si>
    <t>G</t>
  </si>
  <si>
    <t>Q3</t>
  </si>
  <si>
    <t>λ</t>
  </si>
  <si>
    <t>Diff</t>
  </si>
  <si>
    <t>std err</t>
  </si>
  <si>
    <t>effect r</t>
  </si>
  <si>
    <t>W</t>
  </si>
  <si>
    <t>variance</t>
  </si>
  <si>
    <t>Middle</t>
  </si>
  <si>
    <t>M</t>
  </si>
  <si>
    <t>C(n,x)</t>
  </si>
  <si>
    <t>Extra picture (two normal distributions)</t>
  </si>
  <si>
    <t>x1</t>
  </si>
  <si>
    <t>x2</t>
  </si>
  <si>
    <t>P(x &lt; x1)</t>
  </si>
  <si>
    <t>P(x &lt; x2)</t>
  </si>
  <si>
    <t>P(x1 &lt; x &lt; x2)</t>
  </si>
  <si>
    <t>Multinomial distribution</t>
  </si>
  <si>
    <t>x3</t>
  </si>
  <si>
    <t>multinomial</t>
  </si>
  <si>
    <t>p1</t>
  </si>
  <si>
    <t>p2</t>
  </si>
  <si>
    <t>p3</t>
  </si>
  <si>
    <t>prob</t>
  </si>
  <si>
    <t>p1^x1</t>
  </si>
  <si>
    <t>p2^x2</t>
  </si>
  <si>
    <t>p3^x3</t>
  </si>
  <si>
    <t>=MULTINOMIAL(B3:B5)</t>
  </si>
  <si>
    <t>=B6^B3</t>
  </si>
  <si>
    <t>=B7^B4</t>
  </si>
  <si>
    <t>=B8^B5</t>
  </si>
  <si>
    <t>=B9*PRODUCT(B10:B12)</t>
  </si>
  <si>
    <t>=B9*EXP(SUMPRODUCT(B3:B5,LN(B6:B8)))</t>
  </si>
  <si>
    <t>=MULTINOMDIST(B3:B5,B6:B8)</t>
  </si>
  <si>
    <t>Poisson Distribution</t>
  </si>
  <si>
    <t>Binomial distrbution</t>
  </si>
  <si>
    <r>
      <t xml:space="preserve">prob </t>
    </r>
    <r>
      <rPr>
        <sz val="11"/>
        <color theme="1"/>
        <rFont val="Calibri"/>
        <family val="2"/>
      </rPr>
      <t>≤ x</t>
    </r>
  </si>
  <si>
    <t>prob &gt; x</t>
  </si>
  <si>
    <t>Poisson distribution</t>
  </si>
  <si>
    <t>Alternative calculations</t>
  </si>
  <si>
    <t xml:space="preserve">Poisson Distribution </t>
  </si>
  <si>
    <t>Iterative</t>
  </si>
  <si>
    <t>pop mean</t>
  </si>
  <si>
    <t>pop std dev</t>
  </si>
  <si>
    <t>crit value</t>
  </si>
  <si>
    <t>left tail test</t>
  </si>
  <si>
    <t>z-score</t>
  </si>
  <si>
    <t>right tail test</t>
  </si>
  <si>
    <t>two tail test</t>
  </si>
  <si>
    <t>Calculation of confidence interval</t>
  </si>
  <si>
    <t>margin of err</t>
  </si>
  <si>
    <t>Using CONFIDENCE</t>
  </si>
  <si>
    <t>z test</t>
  </si>
  <si>
    <t>One-sample testing of the mean</t>
  </si>
  <si>
    <t>hyp mean</t>
  </si>
  <si>
    <t>z-Test: Two Sample for Means</t>
  </si>
  <si>
    <t>Known Variance</t>
  </si>
  <si>
    <t>P(Z&lt;=z) one-tail</t>
  </si>
  <si>
    <t>z Critical one-tail</t>
  </si>
  <si>
    <t>P(Z&lt;=z) two-tail</t>
  </si>
  <si>
    <t>z Critical two-tail</t>
  </si>
  <si>
    <t>Two-sample testing of the mean</t>
  </si>
  <si>
    <t>Nutrient</t>
  </si>
  <si>
    <t>pop variance</t>
  </si>
  <si>
    <t>pooled variance</t>
  </si>
  <si>
    <t>pooled std dev</t>
  </si>
  <si>
    <t>Sampling</t>
  </si>
  <si>
    <t>Group 2</t>
  </si>
  <si>
    <t>Random</t>
  </si>
  <si>
    <t>Periodic</t>
  </si>
  <si>
    <t>Sampling without replacement</t>
  </si>
  <si>
    <t>Pop</t>
  </si>
  <si>
    <t>Sample from Poisson Distribution with mean 0.5</t>
  </si>
  <si>
    <t>Sample from Uniform Distribution [50, 150]</t>
  </si>
  <si>
    <t>Simulation - Central Limit Theorem</t>
  </si>
  <si>
    <t>Uniform Distribution [50, 150]</t>
  </si>
  <si>
    <t>number of samples</t>
  </si>
  <si>
    <t>sample sizes</t>
  </si>
  <si>
    <t>Population statistics</t>
  </si>
  <si>
    <t>Central limit theorem forecast</t>
  </si>
  <si>
    <r>
      <t xml:space="preserve">Poisson Distribution </t>
    </r>
    <r>
      <rPr>
        <sz val="11"/>
        <color theme="1"/>
        <rFont val="Calibri"/>
        <family val="2"/>
      </rPr>
      <t>λ = 0.5</t>
    </r>
  </si>
  <si>
    <t>Sampling with replacement</t>
  </si>
  <si>
    <t>Sample of normal data</t>
  </si>
  <si>
    <t>norm x</t>
  </si>
  <si>
    <t>norm y</t>
  </si>
  <si>
    <t>random</t>
  </si>
  <si>
    <t>Simulation of Central Limit Theorem (extra example)</t>
  </si>
  <si>
    <t>Sample data for extra example, using Poisson distribution</t>
  </si>
  <si>
    <t>Fisher Exact Test</t>
  </si>
  <si>
    <t>Fisher exact test</t>
  </si>
  <si>
    <t>one-tail</t>
  </si>
  <si>
    <t>two-tail</t>
  </si>
  <si>
    <t>=FISHERTEST(B6:C7,1)</t>
  </si>
  <si>
    <t>=FISHERTEST(B6:C7,2)</t>
  </si>
  <si>
    <t>nodupe</t>
  </si>
  <si>
    <t>FREQTABLE function</t>
  </si>
  <si>
    <t>Frequency Table data analysis tool</t>
  </si>
  <si>
    <t>SHUFFLE</t>
  </si>
  <si>
    <r>
      <t>x̄</t>
    </r>
    <r>
      <rPr>
        <vertAlign val="superscript"/>
        <sz val="11"/>
        <color theme="1"/>
        <rFont val="Calibri"/>
        <family val="2"/>
        <scheme val="minor"/>
      </rPr>
      <t>2</t>
    </r>
  </si>
  <si>
    <r>
      <rPr>
        <sz val="11"/>
        <color theme="1"/>
        <rFont val="Calibri"/>
        <family val="2"/>
      </rPr>
      <t>Σ</t>
    </r>
    <r>
      <rPr>
        <sz val="11"/>
        <color theme="1"/>
        <rFont val="Calibri"/>
        <family val="2"/>
        <scheme val="minor"/>
      </rPr>
      <t>fx</t>
    </r>
    <r>
      <rPr>
        <vertAlign val="superscript"/>
        <sz val="11"/>
        <color theme="1"/>
        <rFont val="Calibri"/>
        <family val="2"/>
        <scheme val="minor"/>
      </rPr>
      <t>2</t>
    </r>
  </si>
  <si>
    <t>Σfx</t>
  </si>
  <si>
    <t>crit</t>
  </si>
  <si>
    <t>Relationship of binomial with normal distribution</t>
  </si>
  <si>
    <t>np</t>
  </si>
  <si>
    <t>np(1-p)</t>
  </si>
  <si>
    <t>B(n,p)</t>
  </si>
  <si>
    <t>N(np,stdev)</t>
  </si>
  <si>
    <t>Weibull Distribution</t>
  </si>
  <si>
    <t>β</t>
  </si>
  <si>
    <t>1 - p</t>
  </si>
  <si>
    <t>1 - EXP(-(x/β)^α)</t>
  </si>
  <si>
    <t>Beta distribution</t>
  </si>
  <si>
    <t>=IF(E13&lt;E9,"yes","no")</t>
  </si>
  <si>
    <t>Normal approximation</t>
  </si>
  <si>
    <t>goal</t>
  </si>
  <si>
    <t>max s.e.</t>
  </si>
  <si>
    <t>.5/sqrt(n)</t>
  </si>
  <si>
    <t>Jim</t>
  </si>
  <si>
    <t>Mary</t>
  </si>
  <si>
    <t>Dave</t>
  </si>
  <si>
    <t>Bob</t>
  </si>
  <si>
    <t>Jane</t>
  </si>
  <si>
    <t>Boxplot - Approach for Negative Data</t>
  </si>
  <si>
    <t>x2-x1</t>
  </si>
  <si>
    <t>χ2 (obs)</t>
  </si>
  <si>
    <t>χ2 (crit)</t>
  </si>
  <si>
    <t>2-tail test</t>
  </si>
  <si>
    <t>χ2 crit left</t>
  </si>
  <si>
    <t>χ2 crit right</t>
  </si>
  <si>
    <r>
      <t>z</t>
    </r>
    <r>
      <rPr>
        <vertAlign val="superscript"/>
        <sz val="11"/>
        <color theme="1"/>
        <rFont val="Calibri"/>
        <family val="2"/>
        <scheme val="minor"/>
      </rPr>
      <t>2</t>
    </r>
  </si>
  <si>
    <t>=G12</t>
  </si>
  <si>
    <t>=COUNT(B4:B11)-1</t>
  </si>
  <si>
    <t>=IF(B15&lt;B14,"yes","no")</t>
  </si>
  <si>
    <t>=CHIINV(B14,B20)</t>
  </si>
  <si>
    <t>=CHIDIST(B18,B20)</t>
  </si>
  <si>
    <t>=IF(B18&gt;B19,"yes","no")</t>
  </si>
  <si>
    <t>We can also calculate χ2 as follows:</t>
  </si>
  <si>
    <t>Probability calculation</t>
  </si>
  <si>
    <t>1-p</t>
  </si>
  <si>
    <t>(1-p)^n</t>
  </si>
  <si>
    <t>1-(1-p)^n</t>
  </si>
  <si>
    <t>=1-B12</t>
  </si>
  <si>
    <t>z-crit (alpha)</t>
  </si>
  <si>
    <t>z-crit (beta)</t>
  </si>
  <si>
    <t>effect size</t>
  </si>
  <si>
    <t>J</t>
  </si>
  <si>
    <t>Ranking</t>
  </si>
  <si>
    <t/>
  </si>
  <si>
    <t>Binomial Distribution</t>
  </si>
  <si>
    <r>
      <t>|x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median(x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)|</t>
    </r>
  </si>
  <si>
    <t>Excel spreadsheets</t>
  </si>
  <si>
    <t>Charts</t>
  </si>
  <si>
    <t>Excel Environment</t>
  </si>
  <si>
    <t>Concise Table of Contents</t>
  </si>
  <si>
    <t>Probability Functions</t>
  </si>
  <si>
    <t>Array formulas and functions</t>
  </si>
  <si>
    <t>Basic probability concepts</t>
  </si>
  <si>
    <t>Discrete probability distributions</t>
  </si>
  <si>
    <t>Measures of central tendency</t>
  </si>
  <si>
    <t>Descriptive statistics tools</t>
  </si>
  <si>
    <t>Sample Excel worksheet (Figure 1)</t>
  </si>
  <si>
    <t>Bar Chart (Example 1)</t>
  </si>
  <si>
    <t>Line Chart (Example 2)</t>
  </si>
  <si>
    <t>Array formula (Example 1)</t>
  </si>
  <si>
    <t>Array function (Example 2)</t>
  </si>
  <si>
    <t>Probability calculation (Example 6)</t>
  </si>
  <si>
    <t>Frequency function (Example 1)</t>
  </si>
  <si>
    <t>Frequency function (Example 2)</t>
  </si>
  <si>
    <t>Measures of variability</t>
  </si>
  <si>
    <t>Chi-square distribution (Figure 1)</t>
  </si>
  <si>
    <t>Kurtosis and skewness (Figure 2)</t>
  </si>
  <si>
    <t>Descriptive Statistics data analysis tool (Example 1)</t>
  </si>
  <si>
    <t>Descriptive Statistics data analysis tool (Example 2)</t>
  </si>
  <si>
    <t>Frequency tables</t>
  </si>
  <si>
    <t>Mean and variance based on frequency tables (Example 1)</t>
  </si>
  <si>
    <t>Calculations from a frequency table with intervals (Example 2)</t>
  </si>
  <si>
    <t>Excel FREQUENCY function (Example 3)</t>
  </si>
  <si>
    <t>Histogram</t>
  </si>
  <si>
    <t>Histogram data analysis tool (Example 1)</t>
  </si>
  <si>
    <t>Box plots</t>
  </si>
  <si>
    <t>Box Plot (Example 1)</t>
  </si>
  <si>
    <t>Hypothesis Testing</t>
  </si>
  <si>
    <t>Statistical power</t>
  </si>
  <si>
    <t>Power table (Figure 1)</t>
  </si>
  <si>
    <t>Normal Distribution</t>
  </si>
  <si>
    <t>Probability using normal distribution (Example 2)</t>
  </si>
  <si>
    <t>Basic characteristics</t>
  </si>
  <si>
    <t>Standard normal distribution</t>
  </si>
  <si>
    <t>Sampling Distributions</t>
  </si>
  <si>
    <t>One sample hypothesis testing with known variance (Example 1)</t>
  </si>
  <si>
    <t>One sample hypothesis testing with known variance (Example 2)</t>
  </si>
  <si>
    <t>Single sample hypothesis testing with known variance</t>
  </si>
  <si>
    <t>Confidence interval (Example 1)</t>
  </si>
  <si>
    <t>Confidence interval (Example 2)</t>
  </si>
  <si>
    <t>Confidence intervals</t>
  </si>
  <si>
    <t>One sample hypothesis testing using the Central Limit Theorem</t>
  </si>
  <si>
    <t>One sample hypothesis test via Central Limit Theorem (Example 1)</t>
  </si>
  <si>
    <t>Two sample hypothesis testing with known variance (Example 1)</t>
  </si>
  <si>
    <t>Comparing two means when variances are known</t>
  </si>
  <si>
    <t>Simulation</t>
  </si>
  <si>
    <t>Simulation of Central Limit Theorem (Example 1)</t>
  </si>
  <si>
    <t>Sample data for Example 1, using Uniform distribution</t>
  </si>
  <si>
    <t>Sampling using data analysis tool (Example 1)</t>
  </si>
  <si>
    <t>Power for normal distribution (Example 1)</t>
  </si>
  <si>
    <t>What if analysis regarding power for normal distribution (Example 2)</t>
  </si>
  <si>
    <t>Summary of results for what if analysis regarding power (Example 2)</t>
  </si>
  <si>
    <t>Power curve for Example 1 (Figure 2)</t>
  </si>
  <si>
    <t>Alternative approach for calculating power (Figure 8)</t>
  </si>
  <si>
    <t>Alternative approach for determining sample size (Figure 9)</t>
  </si>
  <si>
    <t>Binomial and Related Distributions</t>
  </si>
  <si>
    <t>Other Key Distributions</t>
  </si>
  <si>
    <t>Student's t Distribution</t>
  </si>
  <si>
    <t>Chart of binomial distribution (Figure 1)</t>
  </si>
  <si>
    <t>Binomial distribution (Example 1)</t>
  </si>
  <si>
    <t>Hypothesis testing</t>
  </si>
  <si>
    <t>Hypothesis testing binomial distribution (Example 1)</t>
  </si>
  <si>
    <t>Hypothesis testing binomial distribution (Example 2)</t>
  </si>
  <si>
    <t>Relationship with normal distribution</t>
  </si>
  <si>
    <t>Binomial vs. normal distribution (Example 1)</t>
  </si>
  <si>
    <t>Two sample hypothesis testing (Example 4)</t>
  </si>
  <si>
    <t>Proportion distribution (Example 1)</t>
  </si>
  <si>
    <t>Proportion distribution - confidence interval (Example 2)</t>
  </si>
  <si>
    <t>Proportion distribution - sample size (Example 3)</t>
  </si>
  <si>
    <t>Beta distribution (Example1)</t>
  </si>
  <si>
    <t>Multinomial distribution (Example 1)</t>
  </si>
  <si>
    <t>Poisson distribution (Example 1)</t>
  </si>
  <si>
    <t>Weibull distribution</t>
  </si>
  <si>
    <t>Weibull distribution (Example 1)</t>
  </si>
  <si>
    <t>Basic concepts of the t distribution</t>
  </si>
  <si>
    <t>Chart of t distribution (Figure 1)</t>
  </si>
  <si>
    <t>One sample t test (Example 1)</t>
  </si>
  <si>
    <t>Test for symmetry with box plot (Figure 2)</t>
  </si>
  <si>
    <t>One sample t test (Example 2)</t>
  </si>
  <si>
    <t>Test for symmetry with histogram and descriptive stats (Figure 4)</t>
  </si>
  <si>
    <t>Confidence interval for t distribution (Example 3)</t>
  </si>
  <si>
    <t>Power curve (Figure 8)</t>
  </si>
  <si>
    <t>One sample hypothesis testing of the mean when population variance is unknown</t>
  </si>
  <si>
    <t>Two independent sample t test, equal variance (Example 1)</t>
  </si>
  <si>
    <t>Two sample data analysis tool with equal variance (Figure 2)</t>
  </si>
  <si>
    <t>Two independent sample t test, equal variance (Example 2)</t>
  </si>
  <si>
    <t>Two sample hypothesis testing of the means when variances are unknown but equal</t>
  </si>
  <si>
    <t>Two sample hypothesis testing of the means when variances are unknown but unequal</t>
  </si>
  <si>
    <t>Two independent sample t test, unequal variance (Example 1)</t>
  </si>
  <si>
    <t>Two independent samples, unequal variance (Example 2)</t>
  </si>
  <si>
    <t>Two independent sample t test, unequal variance (Example 2)</t>
  </si>
  <si>
    <t>Two sample data analysis tool with unequal variance (Figure 2)</t>
  </si>
  <si>
    <t>Two sample hypothesis testing of the means with paired samples</t>
  </si>
  <si>
    <t>Two paired samples t test (Example 1)</t>
  </si>
  <si>
    <t>Two paired samples data analysis tool (Figure 5)</t>
  </si>
  <si>
    <t>Chart of chi-square distribution (Figure 1)</t>
  </si>
  <si>
    <t>One sample testing of variance (Example 1)</t>
  </si>
  <si>
    <t>One sample testing of variance (Example 2)</t>
  </si>
  <si>
    <t>Goodness of fit</t>
  </si>
  <si>
    <t>Chi-square goodness of fit (Example 1)</t>
  </si>
  <si>
    <t>Chi-square goodness of fit (Example 2)</t>
  </si>
  <si>
    <t>Chi-square goodness of fit (Example 3)</t>
  </si>
  <si>
    <t>Chi-square goodness of fit (Example 4)</t>
  </si>
  <si>
    <t>Independence testing</t>
  </si>
  <si>
    <t>Chi-square independence testing (Example 1)</t>
  </si>
  <si>
    <t>Chi-square independence testing (Example 2)</t>
  </si>
  <si>
    <t>Fisher exact test (Example 1)</t>
  </si>
  <si>
    <t>Effect size for chi-square</t>
  </si>
  <si>
    <t>Cramer's V effect size (Figure 1)</t>
  </si>
  <si>
    <t>Odds ratio effect size (Example 1)</t>
  </si>
  <si>
    <t>Two sample hypothesis testing to compare variances</t>
  </si>
  <si>
    <t>F-Test two-sample for variances (Example 1)</t>
  </si>
  <si>
    <t>F-Test Two-Sample for Variances data analysis tool (Figure 2)</t>
  </si>
  <si>
    <t>= GEOMEAN(1.05,1.08,1.1) - 1</t>
  </si>
  <si>
    <t>item</t>
  </si>
  <si>
    <t>Extract Columns from Data Range</t>
  </si>
  <si>
    <t>Input range</t>
  </si>
  <si>
    <t>Reshape</t>
  </si>
  <si>
    <t>Reverse</t>
  </si>
  <si>
    <t>Sort</t>
  </si>
  <si>
    <t>Sort no dupes</t>
  </si>
  <si>
    <t>Index</t>
  </si>
  <si>
    <t>u</t>
  </si>
  <si>
    <t>Outliers and Missing Data</t>
  </si>
  <si>
    <t>Sample 3</t>
  </si>
  <si>
    <t>Box Plot</t>
  </si>
  <si>
    <t># outliers</t>
  </si>
  <si>
    <t># blank</t>
  </si>
  <si>
    <t># non-num</t>
  </si>
  <si>
    <t>Shapiro-Wilk Test</t>
  </si>
  <si>
    <t>normal</t>
  </si>
  <si>
    <t>Real Statistics data analysis tool</t>
  </si>
  <si>
    <t>tot</t>
  </si>
  <si>
    <t>Sort Rows</t>
  </si>
  <si>
    <t>France</t>
  </si>
  <si>
    <t>UK</t>
  </si>
  <si>
    <t>US</t>
  </si>
  <si>
    <t>Rich</t>
  </si>
  <si>
    <t>=SortRowsUnique(A3:C14)</t>
  </si>
  <si>
    <t>=SortRowsCount(A3:C14)</t>
  </si>
  <si>
    <t>=SortRowsSum(A3:D14,"")</t>
  </si>
  <si>
    <t>Suc-Pred</t>
  </si>
  <si>
    <t>Fail-Pred</t>
  </si>
  <si>
    <t>Classification Table</t>
  </si>
  <si>
    <t>Suc-Obs</t>
  </si>
  <si>
    <t>Fail-Obs</t>
  </si>
  <si>
    <t>Cutoff</t>
  </si>
  <si>
    <t>ROC Table</t>
  </si>
  <si>
    <t>FPR</t>
  </si>
  <si>
    <t>TPR</t>
  </si>
  <si>
    <t>AUC</t>
  </si>
  <si>
    <t>Classification Table (Example 1)</t>
  </si>
  <si>
    <t>Select Columns</t>
  </si>
  <si>
    <t>Sort Rows without duplicates</t>
  </si>
  <si>
    <t>=QSORTRows(T3:W14,4)</t>
  </si>
  <si>
    <t>=SelectCols(A3:D14,"2,3,1")</t>
  </si>
  <si>
    <t>=SelectCols(A3:D14,"3,2,1,4",1)</t>
  </si>
  <si>
    <t>=SortRowsUnique(A3:B14)</t>
  </si>
  <si>
    <t>=CountRowsUnique(A3:B14)</t>
  </si>
  <si>
    <t>Sort and Extract Unique</t>
  </si>
  <si>
    <t>Input Range</t>
  </si>
  <si>
    <t>Germany</t>
  </si>
  <si>
    <t>Italy</t>
  </si>
  <si>
    <t>Russia</t>
  </si>
  <si>
    <t>Spain</t>
  </si>
  <si>
    <t>Sort Unique</t>
  </si>
  <si>
    <t>Extract Unique</t>
  </si>
  <si>
    <t>=QSORTRows(T3:W14)</t>
  </si>
  <si>
    <t>Accuracy</t>
  </si>
  <si>
    <t>Sorting and removing duplicates by rows</t>
  </si>
  <si>
    <t>Extracting columns from a data range</t>
  </si>
  <si>
    <t>cum</t>
  </si>
  <si>
    <t>Bin size</t>
  </si>
  <si>
    <t>Item</t>
  </si>
  <si>
    <t>Using FREQTABLE with bin size 15</t>
  </si>
  <si>
    <t>Using Frequency Table data analysis tool</t>
  </si>
  <si>
    <t>Real Statistics Frequency Table data analysis tool (Example 2)</t>
  </si>
  <si>
    <t>Frequency function using Real Statistics data analysis tool</t>
  </si>
  <si>
    <t>=NORM_LOWER(A3:F10,I12)</t>
  </si>
  <si>
    <t>Dosage</t>
  </si>
  <si>
    <t>Real Statistics Functions</t>
  </si>
  <si>
    <t>w</t>
  </si>
  <si>
    <t>Runs</t>
  </si>
  <si>
    <t>A run of at least 7 heads</t>
  </si>
  <si>
    <t>A run if at least 6 heads</t>
  </si>
  <si>
    <t>A run of at least 6</t>
  </si>
  <si>
    <t>Probability of a run of at least 6 heads (Example 1)</t>
  </si>
  <si>
    <t>Rent</t>
  </si>
  <si>
    <t>Average Income and Rent by Age</t>
  </si>
  <si>
    <t>Line Chart (Example 3)</t>
  </si>
  <si>
    <t>Measures of Central Tendency</t>
  </si>
  <si>
    <t>MODE</t>
  </si>
  <si>
    <t>AVERAGE</t>
  </si>
  <si>
    <t>MEDIAN</t>
  </si>
  <si>
    <t>MODE.MULT</t>
  </si>
  <si>
    <t>HARMEAN</t>
  </si>
  <si>
    <t>GEOMEAN</t>
  </si>
  <si>
    <t>Measures of Variability</t>
  </si>
  <si>
    <t>DEVSQ</t>
  </si>
  <si>
    <t>AVEDEV</t>
  </si>
  <si>
    <t>MIN</t>
  </si>
  <si>
    <t>MAX</t>
  </si>
  <si>
    <t>RNG</t>
  </si>
  <si>
    <t>SKEW</t>
  </si>
  <si>
    <t>KURT</t>
  </si>
  <si>
    <t>SMALL</t>
  </si>
  <si>
    <t>LARGE</t>
  </si>
  <si>
    <t>Data analysis tool</t>
  </si>
  <si>
    <t>PERCENTRANK and PERCENTRANK.EXC</t>
  </si>
  <si>
    <t>%-EXC</t>
  </si>
  <si>
    <t>%-INC</t>
  </si>
  <si>
    <t>PERCENTILE</t>
  </si>
  <si>
    <t>PERCENTILE.EXC</t>
  </si>
  <si>
    <t>Skewness and kurtosis (Examples 1, 2)</t>
  </si>
  <si>
    <t>Rank and Percentile data analysis tool (Example 5)</t>
  </si>
  <si>
    <t>PERCENTRANK vs. PERCENTRANK.EXC (Example 7)</t>
  </si>
  <si>
    <t>PERCENTILE vs. PERCENTILE.EXC (Example 9)</t>
  </si>
  <si>
    <t>Various ranking and percentile functions (Examples 1-4, 6, 8, 10)</t>
  </si>
  <si>
    <t>Real Statistics Descriptive Statistics data analysis tool (Example 3)</t>
  </si>
  <si>
    <t>Q-INC</t>
  </si>
  <si>
    <t>Q-EXC</t>
  </si>
  <si>
    <t>Quartile</t>
  </si>
  <si>
    <t>Number of rows without missing data</t>
  </si>
  <si>
    <t>Sort and Filter</t>
  </si>
  <si>
    <t>Betty</t>
  </si>
  <si>
    <t>Steve</t>
  </si>
  <si>
    <t>Sort by Income</t>
  </si>
  <si>
    <t>Remove Duplicates</t>
  </si>
  <si>
    <t>Filter</t>
  </si>
  <si>
    <t>Sorting and Filtering</t>
  </si>
  <si>
    <t>Dealing with missing data</t>
  </si>
  <si>
    <t>Remove missing data (Example 1)</t>
  </si>
  <si>
    <t>Alan</t>
  </si>
  <si>
    <t>Debra</t>
  </si>
  <si>
    <t>Sort by Income/Person</t>
  </si>
  <si>
    <t>Filter (Example 3)</t>
  </si>
  <si>
    <t>Remove Duplicates (Example 2)</t>
  </si>
  <si>
    <t>Sorting (Example 1)</t>
  </si>
  <si>
    <t>FTEST</t>
  </si>
  <si>
    <t>and max bin value 100</t>
  </si>
  <si>
    <t>Year</t>
  </si>
  <si>
    <t>Chi-square Test (standard format)</t>
  </si>
  <si>
    <t>Chi-square summary data</t>
  </si>
  <si>
    <t>corr</t>
  </si>
  <si>
    <t>min</t>
  </si>
  <si>
    <t>max</t>
  </si>
  <si>
    <t>data</t>
  </si>
  <si>
    <t>INC</t>
  </si>
  <si>
    <t>EXC</t>
  </si>
  <si>
    <t>Using QUARTILE</t>
  </si>
  <si>
    <t>Using QUARTILE.EXC</t>
  </si>
  <si>
    <t>Pooled values</t>
  </si>
  <si>
    <t>=VAR_POOLED(A4:A13,B4:B13)</t>
  </si>
  <si>
    <t>=STDEV_POOLED(A4:A13,B4:B13)</t>
  </si>
  <si>
    <t>=STDERR_POOLED(A4:A13,B4:B13)</t>
  </si>
  <si>
    <t>=STDERR_POOLED(A4:A13,B4:B12)</t>
  </si>
  <si>
    <t>Pooled values - unequal sample size</t>
  </si>
  <si>
    <t>Pooled values - equal sample size</t>
  </si>
  <si>
    <t>=VAR_POOLED(A4:A13,B4:B12)</t>
  </si>
  <si>
    <t>=STDEV_POOLED(A4:A13,B4:B12)</t>
  </si>
  <si>
    <t>δ</t>
  </si>
  <si>
    <t>df 1</t>
  </si>
  <si>
    <t>df 5</t>
  </si>
  <si>
    <t>df 10</t>
  </si>
  <si>
    <t>df 3</t>
  </si>
  <si>
    <t>ncp 0</t>
  </si>
  <si>
    <t>ncp 2</t>
  </si>
  <si>
    <t>ncp 4</t>
  </si>
  <si>
    <t>ncp 6</t>
  </si>
  <si>
    <t>1-β</t>
  </si>
  <si>
    <t>ncp 1</t>
  </si>
  <si>
    <t>ncp 5</t>
  </si>
  <si>
    <t>ncp 10</t>
  </si>
  <si>
    <t>ncp 20</t>
  </si>
  <si>
    <t>suppl</t>
  </si>
  <si>
    <t>=AI3*SQRT(AI5)</t>
  </si>
  <si>
    <t>=AI5-1</t>
  </si>
  <si>
    <t>=1-AI11</t>
  </si>
  <si>
    <t>=T1_POWER(AI3,AI5,AI6,AI4)</t>
  </si>
  <si>
    <t>Power: one sample t test</t>
  </si>
  <si>
    <t>Power: paired sample t test</t>
  </si>
  <si>
    <t>=AS3*SQRT(HARMEAN(AS5,AS6)/2)</t>
  </si>
  <si>
    <t>=AS5+AS6-2</t>
  </si>
  <si>
    <t>=1-AS12</t>
  </si>
  <si>
    <t>=T2_POWER(AS3,AS5,AS6,AS7,AS4)</t>
  </si>
  <si>
    <t>Power: Two independent samples t test</t>
  </si>
  <si>
    <t>=AX3*SQRT(AX5/2)</t>
  </si>
  <si>
    <t>=AX5*2-2</t>
  </si>
  <si>
    <t>=1-AX11</t>
  </si>
  <si>
    <t>=T2_POWER(AX3,AX5)</t>
  </si>
  <si>
    <t>=T2_POWER(AX3,100)</t>
  </si>
  <si>
    <t>=T2_SIZE(AX3,AX18)</t>
  </si>
  <si>
    <t>=T2_SIZE(AX3,AX18,1)</t>
  </si>
  <si>
    <t>=T2_SIZE(AX3,AX18,2,0.025)</t>
  </si>
  <si>
    <t>=T1_SIZE(AX3)</t>
  </si>
  <si>
    <t>Calculation of power</t>
  </si>
  <si>
    <t>t test</t>
  </si>
  <si>
    <t>hyp mean (μ)</t>
  </si>
  <si>
    <t>real mean</t>
  </si>
  <si>
    <t>=COUNT(A5:D10)</t>
  </si>
  <si>
    <t>=AVERAGE(A5:D10)</t>
  </si>
  <si>
    <t>=ABS(G5-G7)/G8</t>
  </si>
  <si>
    <t>=G8/SQRT(G6)</t>
  </si>
  <si>
    <t>=G6-1</t>
  </si>
  <si>
    <t>=ABS(G7-G5)/G11</t>
  </si>
  <si>
    <t>=IF(G14&lt;G15,"yes","no")</t>
  </si>
  <si>
    <t>=G7</t>
  </si>
  <si>
    <t>H0</t>
  </si>
  <si>
    <t>H1</t>
  </si>
  <si>
    <t>t-crit (right)</t>
  </si>
  <si>
    <t>x-crit (right)</t>
  </si>
  <si>
    <t>t-crit (left)</t>
  </si>
  <si>
    <t>x-crit (left)</t>
  </si>
  <si>
    <t>t (right)</t>
  </si>
  <si>
    <t>t (left)</t>
  </si>
  <si>
    <t>P(t &lt; t-right)</t>
  </si>
  <si>
    <t>P(t &lt; t-left)</t>
  </si>
  <si>
    <t>Power of Single Sample Hypothesis Testing of the Mean using t Test (two-tailed)</t>
  </si>
  <si>
    <t>Power of Single Sample Hypothesis Testing of the Mean using t Test (one-tailed)</t>
  </si>
  <si>
    <t>Power - t Distribution, 1 -tail (What if analysis)</t>
  </si>
  <si>
    <t>Power, one-tailed test, given mean (Figure 14)</t>
  </si>
  <si>
    <t>Power, based on effect size, alpha and sample size (Example 6a)</t>
  </si>
  <si>
    <t>Effect size needed to achieve power goal, based on alpha and sample size (Example 6b)</t>
  </si>
  <si>
    <t>Sample size needed to achieve power goal, based on effect size and alpha (Example 6c)</t>
  </si>
  <si>
    <t>Power for two-tailed test</t>
  </si>
  <si>
    <t>=G5+L5*G11</t>
  </si>
  <si>
    <t>=-L5</t>
  </si>
  <si>
    <t>=G5+L7*G11</t>
  </si>
  <si>
    <t>=(L6-L9)/G11</t>
  </si>
  <si>
    <t>=(L8-L9)/G11</t>
  </si>
  <si>
    <t>=L12-L13</t>
  </si>
  <si>
    <t>=1-L14</t>
  </si>
  <si>
    <t>=T2_POWER(AZ3,ROUNDUP(AX5,0))</t>
  </si>
  <si>
    <t>pdf</t>
  </si>
  <si>
    <t>cdf</t>
  </si>
  <si>
    <t xml:space="preserve"> ncp 6</t>
  </si>
  <si>
    <t>Power for Goodness of Fit</t>
  </si>
  <si>
    <t>rows</t>
  </si>
  <si>
    <t>columns</t>
  </si>
  <si>
    <t>Sample Size for Independence Test</t>
  </si>
  <si>
    <t>=(G4-1)*(G5-1)</t>
  </si>
  <si>
    <t>=CHISQ_POWER(G7,G9,G6)</t>
  </si>
  <si>
    <t>Example 3</t>
  </si>
  <si>
    <t>Example 2</t>
  </si>
  <si>
    <t>Hypothesis test</t>
  </si>
  <si>
    <t>χ2 crit</t>
  </si>
  <si>
    <t>2-tailed</t>
  </si>
  <si>
    <t>χ2 -crit</t>
  </si>
  <si>
    <t>χ2 +crit</t>
  </si>
  <si>
    <t>=J8-1</t>
  </si>
  <si>
    <t>1-tailed</t>
  </si>
  <si>
    <t>1 tailed</t>
  </si>
  <si>
    <t>2 tailed</t>
  </si>
  <si>
    <t>=CHISQ_SIZE(G7,G6)</t>
  </si>
  <si>
    <t>ratio</t>
  </si>
  <si>
    <t>Power of two-sample variance test</t>
  </si>
  <si>
    <t>Power of one-sample variance test</t>
  </si>
  <si>
    <t>F -crit</t>
  </si>
  <si>
    <t>F +crit</t>
  </si>
  <si>
    <t>var 1</t>
  </si>
  <si>
    <t>var 2</t>
  </si>
  <si>
    <t>stdev 1</t>
  </si>
  <si>
    <t>stdev 2</t>
  </si>
  <si>
    <t>=J5^2/J6^2</t>
  </si>
  <si>
    <t>=J9-1</t>
  </si>
  <si>
    <t>=FINV(1-J12/2,J10,J11)</t>
  </si>
  <si>
    <t>=FINV(J12/2,J10,J11)</t>
  </si>
  <si>
    <t>=FDIST(J7*J13,J10,J11)-FDIST(J7*J14,J10,J11)</t>
  </si>
  <si>
    <t>=1-J15</t>
  </si>
  <si>
    <t>lambda</t>
  </si>
  <si>
    <t>Noncentral t distribution and power</t>
  </si>
  <si>
    <t>Chart of the distribution (Figure 1)</t>
  </si>
  <si>
    <t>One sample test (Example 1)</t>
  </si>
  <si>
    <t>Chart of the distribution (Figure 2)</t>
  </si>
  <si>
    <t>Power and Sample size: Two independent samples t test</t>
  </si>
  <si>
    <t>Power (Example 3)</t>
  </si>
  <si>
    <t>Sample size required (Example 4)</t>
  </si>
  <si>
    <t>Power for goodness of fit (Example 1)</t>
  </si>
  <si>
    <t>Sample size for independence testing (Example 2)</t>
  </si>
  <si>
    <t>Noncentral chi-square distribution and Power</t>
  </si>
  <si>
    <t>Chart of the noncentral chi-square distribution (Figure 1)</t>
  </si>
  <si>
    <t>Chart of the noncentral F distribution (Figure 1)</t>
  </si>
  <si>
    <t>=VAR2_POWER(E7,E8,E9,1,E12)</t>
  </si>
  <si>
    <t>=VAR2_POWER(J7,J8,J9)</t>
  </si>
  <si>
    <t>=VAR2_SIZE(E7,0.8,1)</t>
  </si>
  <si>
    <t>=VAR2_SIZE(J7)</t>
  </si>
  <si>
    <t>Outliers and Robustness</t>
  </si>
  <si>
    <t>Trimmed and Winsorized data (Example 1)</t>
  </si>
  <si>
    <t>Trimmed and Winsorized Data</t>
  </si>
  <si>
    <t>Trimmed</t>
  </si>
  <si>
    <t>Winsorized</t>
  </si>
  <si>
    <t>=B4</t>
  </si>
  <si>
    <t>=B5+C4</t>
  </si>
  <si>
    <t>=B6+C5</t>
  </si>
  <si>
    <t>=B7+C6</t>
  </si>
  <si>
    <t>=B8+C7</t>
  </si>
  <si>
    <t>=B9+C8</t>
  </si>
  <si>
    <t>=B10+C9</t>
  </si>
  <si>
    <t>=B11+C10</t>
  </si>
  <si>
    <t>P(3)</t>
  </si>
  <si>
    <t xml:space="preserve">P(x ≤ 5) </t>
  </si>
  <si>
    <r>
      <t xml:space="preserve">P(3 </t>
    </r>
    <r>
      <rPr>
        <sz val="11"/>
        <color theme="1"/>
        <rFont val="Calibri"/>
        <family val="2"/>
      </rPr>
      <t>≤ x ≤ 5)</t>
    </r>
  </si>
  <si>
    <t>=PROB(A4:A11,B4:B11,3,5)</t>
  </si>
  <si>
    <t>=PROB(A4:A11,B4:B11,3)</t>
  </si>
  <si>
    <t>=PROB(A4:A11,B4:B11,,5)</t>
  </si>
  <si>
    <t>Data 1</t>
  </si>
  <si>
    <t>Data 2</t>
  </si>
  <si>
    <t>Data 3</t>
  </si>
  <si>
    <t>Data 4</t>
  </si>
  <si>
    <t>Data 5</t>
  </si>
  <si>
    <t>Data 6</t>
  </si>
  <si>
    <t>VAR.S = VAR</t>
  </si>
  <si>
    <t>VAR.P = VARP</t>
  </si>
  <si>
    <t>STDEV.S = STDEV</t>
  </si>
  <si>
    <t>STDEV.P = STDEVP</t>
  </si>
  <si>
    <t>Descriptive statistics for data in a frequency table (Example 5)</t>
  </si>
  <si>
    <t>Real Statistics Environment</t>
  </si>
  <si>
    <t>Reformatting data</t>
  </si>
  <si>
    <t>Sorting, removing duplicates, etc. (Example 1)</t>
  </si>
  <si>
    <t>Reformat data in a range</t>
  </si>
  <si>
    <t>COUNTU</t>
  </si>
  <si>
    <t>COUNTAU</t>
  </si>
  <si>
    <t>Sort and extract unique (Example 2)</t>
  </si>
  <si>
    <t>Goal Seek</t>
  </si>
  <si>
    <t>Square root example (Example 1)</t>
  </si>
  <si>
    <t>x^2</t>
  </si>
  <si>
    <t>Excel 2007</t>
  </si>
  <si>
    <t>Excel 2010</t>
  </si>
  <si>
    <t>Real Statistics functions</t>
  </si>
  <si>
    <t>Uniform distribution</t>
  </si>
  <si>
    <t>Uniform distribution (Example 2)</t>
  </si>
  <si>
    <t>Uniform Distribution</t>
  </si>
  <si>
    <t>a+b</t>
  </si>
  <si>
    <t>b-a</t>
  </si>
  <si>
    <t>=AVERAGE(A3:E10)</t>
  </si>
  <si>
    <t>=2*H3</t>
  </si>
  <si>
    <t>=H4*SQRT(12)</t>
  </si>
  <si>
    <t>=(H6-H7)/2</t>
  </si>
  <si>
    <t>=(H6+H7)/2</t>
  </si>
  <si>
    <t>=STDEV.S(A3:E10)</t>
  </si>
  <si>
    <t>P(x &lt; 5)</t>
  </si>
  <si>
    <t>=UNIFORM_DIST(5,H9,H10,TRUE)</t>
  </si>
  <si>
    <t>Exponential Distribution</t>
  </si>
  <si>
    <t>1-P(t&lt;x)</t>
  </si>
  <si>
    <t>1-P(t-x)</t>
  </si>
  <si>
    <t>MTTF</t>
  </si>
  <si>
    <t>Gamma Distribution</t>
  </si>
  <si>
    <t>P(t&lt;x)</t>
  </si>
  <si>
    <t>Gamma distribution</t>
  </si>
  <si>
    <t>Exponential distribution</t>
  </si>
  <si>
    <t>Time to k events (Example 1)</t>
  </si>
  <si>
    <t>Time to first event (Example 1)</t>
  </si>
  <si>
    <t>Time to first event + MTTF (Example 2)</t>
  </si>
  <si>
    <t>Negative binomial and geometric distributions</t>
  </si>
  <si>
    <t>Geometric distribution (Example 1)</t>
  </si>
  <si>
    <t>Negative binomial distribution (Example 2)</t>
  </si>
  <si>
    <t>Example 1</t>
  </si>
  <si>
    <t>Example 4</t>
  </si>
  <si>
    <t>Negative binomial distribution</t>
  </si>
  <si>
    <t>Geometric distribution</t>
  </si>
  <si>
    <t>using inverse function</t>
  </si>
  <si>
    <t>Inverse negative binomial distribution (Example 3)</t>
  </si>
  <si>
    <t>Inverse Poisson distribution (Example 2)</t>
  </si>
  <si>
    <t>Inverse of negative binomial distribution</t>
  </si>
  <si>
    <t>Hypergeometric distribution</t>
  </si>
  <si>
    <t>Hypergeometric Distribution</t>
  </si>
  <si>
    <t>Hypergeometric distribution (Example 1)</t>
  </si>
  <si>
    <t>Hypergeometric distribution (Example 2)</t>
  </si>
  <si>
    <t>Hypergeometric distribution, what-if (Example 3)</t>
  </si>
  <si>
    <t>Power of binomial distribution</t>
  </si>
  <si>
    <t>One-tailed test</t>
  </si>
  <si>
    <t>Power of one-tailed test (Example 1)</t>
  </si>
  <si>
    <t>Power of two-tailed test (Example 2)</t>
  </si>
  <si>
    <t>Sample size requirement (Example 3)</t>
  </si>
  <si>
    <t>Power (one-tailed)</t>
  </si>
  <si>
    <t>Hypothesis testing binomial distribution (Example 3)</t>
  </si>
  <si>
    <t>Power curve for Example 1</t>
  </si>
  <si>
    <t>Power (two-tailed)</t>
  </si>
  <si>
    <t>-crit</t>
  </si>
  <si>
    <t>+crit</t>
  </si>
  <si>
    <t>=NORM.INV(1-B5,B3,B7)</t>
  </si>
  <si>
    <t>=NORM.DIST(B8,B10,B7,TRUE)</t>
  </si>
  <si>
    <t>=NORM.S.INV(1-B17)</t>
  </si>
  <si>
    <t>=NORM.S.DIST(B16*SQRT(B18)-B19, TRUE)</t>
  </si>
  <si>
    <t>Power - Standard Normal Distribution</t>
  </si>
  <si>
    <t>Sample Size - Standard Normal Distribution</t>
  </si>
  <si>
    <t>Effect Size - Standard Normal Distribution</t>
  </si>
  <si>
    <t>=NORM.S.INV(1-B25)</t>
  </si>
  <si>
    <t>=NORM.S.INV(1-B24)</t>
  </si>
  <si>
    <t>effect size (d)</t>
  </si>
  <si>
    <t>sample size (n)</t>
  </si>
  <si>
    <r>
      <t>alpha (</t>
    </r>
    <r>
      <rPr>
        <sz val="11"/>
        <color theme="1"/>
        <rFont val="Calibri"/>
        <family val="2"/>
      </rPr>
      <t>α)</t>
    </r>
  </si>
  <si>
    <t>=B3*SQRT(B5)</t>
  </si>
  <si>
    <t>=NORM.S.DIST(B6-B7,TRUE)+NORM.S.DIST(-B6-B7,TRUE)</t>
  </si>
  <si>
    <t>=NORM.S.INV(1-B4/2)</t>
  </si>
  <si>
    <t>=NORM.S.INV(1-B12)</t>
  </si>
  <si>
    <t>=NORM.S.INV(1-B22/2)</t>
  </si>
  <si>
    <t>=NORM.S.INV(1-B21)</t>
  </si>
  <si>
    <r>
      <t>non-centrality (</t>
    </r>
    <r>
      <rPr>
        <sz val="11"/>
        <color theme="1"/>
        <rFont val="Calibri"/>
        <family val="2"/>
      </rPr>
      <t>δ)</t>
    </r>
  </si>
  <si>
    <r>
      <t>ncp (</t>
    </r>
    <r>
      <rPr>
        <sz val="11"/>
        <color theme="1"/>
        <rFont val="Calibri"/>
        <family val="2"/>
      </rPr>
      <t>δ)</t>
    </r>
  </si>
  <si>
    <t>one</t>
  </si>
  <si>
    <t>two</t>
  </si>
  <si>
    <r>
      <t>1-</t>
    </r>
    <r>
      <rPr>
        <sz val="11"/>
        <color theme="1"/>
        <rFont val="Calibri"/>
        <family val="2"/>
      </rPr>
      <t>β</t>
    </r>
  </si>
  <si>
    <t>Power of two-sample testing of the mean</t>
  </si>
  <si>
    <t>=NORM.S.INV(1-I8/2)</t>
  </si>
  <si>
    <t>=NORM.S.DIST(I11-J14,TRUE)+NORM.S.DIST(-I11-J14,TRUE)</t>
  </si>
  <si>
    <t>Power of two-sample test</t>
  </si>
  <si>
    <t>sample std dev</t>
  </si>
  <si>
    <r>
      <t>|μ2-</t>
    </r>
    <r>
      <rPr>
        <sz val="11"/>
        <color theme="1"/>
        <rFont val="Calibri"/>
        <family val="2"/>
      </rPr>
      <t>μ1|</t>
    </r>
  </si>
  <si>
    <t>Sample size of a two-sample test</t>
  </si>
  <si>
    <t>Effect size of a two-sample test</t>
  </si>
  <si>
    <t>Alternative approach</t>
  </si>
  <si>
    <t>Sample size requirements, one-tailed test</t>
  </si>
  <si>
    <t>p0</t>
  </si>
  <si>
    <t>=BINOM.INV(B7,B3,1-B5)</t>
  </si>
  <si>
    <t>=1-BINOM.DIST(B6,B7,B4,TRUE)</t>
  </si>
  <si>
    <t>=BINOM_POWER(0.35,0.8,B13,1,0.01)</t>
  </si>
  <si>
    <t>=BINOM_POWER(0.35,0.8,B14,2,0.01)</t>
  </si>
  <si>
    <t>=BINOM.INV(G7,G3,1-G5)</t>
  </si>
  <si>
    <t>=1-BINOM.DIST(G6,G7,G4,TRUE)</t>
  </si>
  <si>
    <t>=BINOM.INV(L7,L3,1-L5)</t>
  </si>
  <si>
    <t>=1-BINOM.DIST(L6,L7,L4,TRUE)</t>
  </si>
  <si>
    <t>T.DIST.RT</t>
  </si>
  <si>
    <t>T.DIST.2T</t>
  </si>
  <si>
    <t>T.DIST, cum = TRUE</t>
  </si>
  <si>
    <t>TDIST, tails = 1</t>
  </si>
  <si>
    <t>T.DIST, cum = FALSE</t>
  </si>
  <si>
    <t>TDIST, tails = 2</t>
  </si>
  <si>
    <t>T.INV</t>
  </si>
  <si>
    <t>T.INV.2T</t>
  </si>
  <si>
    <t>TINV</t>
  </si>
  <si>
    <t>T Distribution Functions</t>
  </si>
  <si>
    <t>=RANDOMIZE(E4:E23)</t>
  </si>
  <si>
    <t>=SHUFFLE(A4:A23)</t>
  </si>
  <si>
    <t>Proportion Distribution</t>
  </si>
  <si>
    <t>Hypergeometric distribution (Example 4)</t>
  </si>
  <si>
    <t>=STDEV.S(B4:B15)</t>
  </si>
  <si>
    <t>=T.DIST.RT(E12,E11)</t>
  </si>
  <si>
    <t>=T.INV(1-E9,E11)</t>
  </si>
  <si>
    <t>=T.DIST.RT(G13,G12)</t>
  </si>
  <si>
    <t>=T.DIST(G23,G12,TRUE)</t>
  </si>
  <si>
    <t>=T.INV(1-G15,G12)</t>
  </si>
  <si>
    <t>=T.INV(1-B5,B6-1)</t>
  </si>
  <si>
    <t>=T.DIST((B9-B11)/B7,B6-1,TRUE)</t>
  </si>
  <si>
    <t>=STDEV.S(A5:D10)</t>
  </si>
  <si>
    <t>=T.DIST.2T(G13,G12)</t>
  </si>
  <si>
    <t>=T.DIST(L10,G12,TRUE)</t>
  </si>
  <si>
    <t>=T.DIST(L11,G12,TRUE)</t>
  </si>
  <si>
    <t>=T.INV.2T(G15,G12)</t>
  </si>
  <si>
    <t>=T.TEST(A4:A13,B4:B13,2,3)</t>
  </si>
  <si>
    <t>=T.TEST(A4:A13,B4:B13,2,2)</t>
  </si>
  <si>
    <t>=DF_POOLED(A4:A13,B4:B12)</t>
  </si>
  <si>
    <t>=DF_POOLED(A4:A13,B4:B13)</t>
  </si>
  <si>
    <t>=IF(AI6=2,T.INV.2T(AI4,AI9),T.INV(1-AI4,AI9))</t>
  </si>
  <si>
    <t>=NT_DIST(AI10,AI9,AI8,TRUE)-IF(AI6=2,NT_DIST(-AI10,AI9,AI8,TRUE),0)</t>
  </si>
  <si>
    <t>Noncentral t distribution</t>
  </si>
  <si>
    <t>=IF(AS7=2,T.INV.2T(AS4,AS10),T.INV(1-AS4,AS10))</t>
  </si>
  <si>
    <t>=NT_DIST(AS11,AS10,AS9,TRUE)-IF(AS7=2,NT_DIST(-AS11,AS10,AS9,TRUE),0)</t>
  </si>
  <si>
    <t>=NT_DIST(AX10,AX9,AX8,TRUE)-IF(AX6=2,NT_DIST(-AX10,AX9,AX8,TRUE),0)</t>
  </si>
  <si>
    <t>=IF(AX6=2,T.INV.2T(AX4,AX9),T.INV(1-AX4,AX9))</t>
  </si>
  <si>
    <t>CHIDIST</t>
  </si>
  <si>
    <t>CHISQ.DIST</t>
  </si>
  <si>
    <t>CHIINV</t>
  </si>
  <si>
    <t>CHISQ.INV</t>
  </si>
  <si>
    <t>CHISQ.DIST.RT</t>
  </si>
  <si>
    <t>CHISQ.INV.RT</t>
  </si>
  <si>
    <t>CHISQ_DIST</t>
  </si>
  <si>
    <t>=B5-1</t>
  </si>
  <si>
    <t>=B7^2</t>
  </si>
  <si>
    <t>χ2-crit (left)</t>
  </si>
  <si>
    <t>χ2-crit (right)</t>
  </si>
  <si>
    <t>=CHISQ.INV(B9/2,B6)</t>
  </si>
  <si>
    <t>=CHISQ.INV.RT(B9/2,B6)</t>
  </si>
  <si>
    <t>=IF(G13&lt;G11,"yes","no")</t>
  </si>
  <si>
    <t>=CHISQ.DIST.RT(G12,G6)</t>
  </si>
  <si>
    <t>=CHISQ.INV.RT(G11,G6)</t>
  </si>
  <si>
    <t>=CHISQ.INV(E10,E9)</t>
  </si>
  <si>
    <t>=CHISQ.INV(J10/2,J9)</t>
  </si>
  <si>
    <t>=CHISQ.INV.RT(J10/2,J9)</t>
  </si>
  <si>
    <t>=CHISQ.DIST.RT(B6,B8)</t>
  </si>
  <si>
    <t>=CHISQ.INV.RT(K3,K4)</t>
  </si>
  <si>
    <t>=CHISQ.DIST.RT(K5,K4)</t>
  </si>
  <si>
    <t>Chi-square Distribution</t>
  </si>
  <si>
    <t>F Distribution</t>
  </si>
  <si>
    <t>=F.INV.RT(E11/2,E9,F9)</t>
  </si>
  <si>
    <t>=2*F.DIST.RT(E10,E9,F9)</t>
  </si>
  <si>
    <t>F.TEST</t>
  </si>
  <si>
    <t>α = 2</t>
  </si>
  <si>
    <t>α = 4</t>
  </si>
  <si>
    <t>α = 6</t>
  </si>
  <si>
    <t>Beta distribution chart (Figure 1)</t>
  </si>
  <si>
    <t>Poisson distribution chart (Figure 1)</t>
  </si>
  <si>
    <t>=NORM.S.INV(1-B9)</t>
  </si>
  <si>
    <t>=NORM.S.INV(1-B23)</t>
  </si>
  <si>
    <t>Column means (Example 2)</t>
  </si>
  <si>
    <t>Mean, median, etc. (Examples 1, 3-6)</t>
  </si>
  <si>
    <t>Column variance and standard deviation (Examples 3)</t>
  </si>
  <si>
    <t>Testing for Outliers</t>
  </si>
  <si>
    <t>Grubbs' Test (Example 1)</t>
  </si>
  <si>
    <t>Grubbs Test</t>
  </si>
  <si>
    <t>sig value</t>
  </si>
  <si>
    <t>G-crit</t>
  </si>
  <si>
    <t>ESD Test</t>
  </si>
  <si>
    <t>Trial 1</t>
  </si>
  <si>
    <t>mean-min</t>
  </si>
  <si>
    <t>max-mean</t>
  </si>
  <si>
    <t>Trial 2</t>
  </si>
  <si>
    <t>Trial 3</t>
  </si>
  <si>
    <t>Trial 4</t>
  </si>
  <si>
    <t>Trial 5</t>
  </si>
  <si>
    <t>Trial 6</t>
  </si>
  <si>
    <t>Trial</t>
  </si>
  <si>
    <t>outlier</t>
  </si>
  <si>
    <t>ESD formula</t>
  </si>
  <si>
    <t>OUTLIERS formula</t>
  </si>
  <si>
    <t>Extension to Grubbs' Test (Example 2)</t>
  </si>
  <si>
    <t>mean 1</t>
  </si>
  <si>
    <t>mean 2</t>
  </si>
  <si>
    <t>ROC</t>
  </si>
  <si>
    <t>ROC and Classification Table</t>
  </si>
  <si>
    <t>Cumulative</t>
  </si>
  <si>
    <t>less than 2.00</t>
  </si>
  <si>
    <t>2.00 - 3.99</t>
  </si>
  <si>
    <t>4.00 - 5.99</t>
  </si>
  <si>
    <t>6.00 - 7.99</t>
  </si>
  <si>
    <t>8.00 - 9.99</t>
  </si>
  <si>
    <t>10.00 - 11.99</t>
  </si>
  <si>
    <t>12.00 - 13.99</t>
  </si>
  <si>
    <t>14.00 - 15.99</t>
  </si>
  <si>
    <t>16.00 -17.99</t>
  </si>
  <si>
    <t>18.00 or more</t>
  </si>
  <si>
    <t>Estimating AUC using rectangles</t>
  </si>
  <si>
    <t>sum</t>
  </si>
  <si>
    <t>Dies</t>
  </si>
  <si>
    <t>Lives</t>
  </si>
  <si>
    <t>Confidence interval for effect size</t>
  </si>
  <si>
    <t>ncp</t>
  </si>
  <si>
    <t>Real Statistics Function NT_NCP</t>
  </si>
  <si>
    <t>Inverse function</t>
  </si>
  <si>
    <t>Noncentral chi-square inverse function</t>
  </si>
  <si>
    <t>Noncentral F Distribution</t>
  </si>
  <si>
    <t>Noncentral chi-square distribution</t>
  </si>
  <si>
    <t>NT_NCP</t>
  </si>
  <si>
    <t>Confidence interval of effect size</t>
  </si>
  <si>
    <r>
      <t>1-</t>
    </r>
    <r>
      <rPr>
        <sz val="11"/>
        <color theme="1"/>
        <rFont val="Calibri"/>
        <family val="2"/>
      </rPr>
      <t>β lower</t>
    </r>
  </si>
  <si>
    <r>
      <t>1-</t>
    </r>
    <r>
      <rPr>
        <sz val="11"/>
        <color theme="1"/>
        <rFont val="Calibri"/>
        <family val="2"/>
      </rPr>
      <t>β upper</t>
    </r>
  </si>
  <si>
    <t>d lower</t>
  </si>
  <si>
    <t>d upper</t>
  </si>
  <si>
    <t>Confidence interval of effect size and power</t>
  </si>
  <si>
    <t>w lower</t>
  </si>
  <si>
    <t>w upper</t>
  </si>
  <si>
    <t>λ lower</t>
  </si>
  <si>
    <t>λ upper</t>
  </si>
  <si>
    <t>Confidence interval for effect size and power (Example 3)</t>
  </si>
  <si>
    <t>Frequency function using Real Statistics function (Example 3)</t>
  </si>
  <si>
    <t>Real Statistics FREQTABLE function (Example 4)</t>
  </si>
  <si>
    <t>Real Statistics one sample t test data analysis tool (Figure 5)</t>
  </si>
  <si>
    <t>Two sample Real Statistics data analysis tool (Example 3)</t>
  </si>
  <si>
    <t>Two paired samples Real Statistics data analysis tool (Figure 4)</t>
  </si>
  <si>
    <t>Chi-square Real Statistics data analysis tool (Figure 3)</t>
  </si>
  <si>
    <t>Real Statistics Descriptive Statistics</t>
  </si>
  <si>
    <t>Real Statistics - IQR using QUARTILE</t>
  </si>
  <si>
    <t>Real Statistics - IQR using QUARTILE.EXC</t>
  </si>
  <si>
    <t>Using QUARTILE.EXC and Real Statistics data analysis tool</t>
  </si>
  <si>
    <t>sample</t>
  </si>
  <si>
    <t>left</t>
  </si>
  <si>
    <t>right</t>
  </si>
  <si>
    <t>MODE.SNGL</t>
  </si>
  <si>
    <t>Unemploy</t>
  </si>
  <si>
    <t>Sort using data analysis tool (Example 3)</t>
  </si>
  <si>
    <t>Miscellaneous Real Statistics Functions</t>
  </si>
  <si>
    <t>Miscellaneous functions</t>
  </si>
  <si>
    <t>Examples of miscellaneous Real Statistics functions</t>
  </si>
  <si>
    <t>Geometric Mean (extra example)</t>
  </si>
  <si>
    <t>Measures of shape</t>
  </si>
  <si>
    <t>PercentRank</t>
  </si>
  <si>
    <t>Real Statistics data analysis tool for obtaining desc stats for frequency table (Example 6)</t>
  </si>
  <si>
    <t>Box Plot (Example 1 using .EXC)</t>
  </si>
  <si>
    <t>Box Plot with negative data</t>
  </si>
  <si>
    <t>Estimating AUC using trapezoids</t>
  </si>
  <si>
    <t>Deleting Missing Data Listwise</t>
  </si>
  <si>
    <t>Log-normal distribution</t>
  </si>
  <si>
    <t>Chart of normal distribution (Example 1)</t>
  </si>
  <si>
    <t>Chart of standard normal distribution (Figure 1)</t>
  </si>
  <si>
    <t>Chart of log-normal distribution (Figure 1)</t>
  </si>
  <si>
    <t>Equivalent formulas</t>
  </si>
  <si>
    <t>Log-normal Distribution</t>
  </si>
  <si>
    <t xml:space="preserve">   =NORM.DIST(A4,100,16,FALSE)</t>
  </si>
  <si>
    <t>Log-normal equivalences</t>
  </si>
  <si>
    <t>margin of error</t>
  </si>
  <si>
    <t>=NORM.S.INV(1-B8)</t>
  </si>
  <si>
    <t>ROC Plot (Example 2)</t>
  </si>
  <si>
    <t>Classification and ROC data analysis tool (Example 3)</t>
  </si>
  <si>
    <t>Remove missing data via data analysis tool (Example 2)</t>
  </si>
  <si>
    <t>Standardized effect size</t>
  </si>
  <si>
    <t>Cohen's d effect size (Example 1)</t>
  </si>
  <si>
    <t>w/repl</t>
  </si>
  <si>
    <t>w/o repl</t>
  </si>
  <si>
    <t>Sampling using Real Statistics data analysis tool (Example 2)</t>
  </si>
  <si>
    <t>Sampling using Real Statistics functions (Figure 3)</t>
  </si>
  <si>
    <t>Real statistics data analysis tool (Example 1)</t>
  </si>
  <si>
    <t>Probability of a run of exactly 6 heads (Figure 2)</t>
  </si>
  <si>
    <t>Probability of a run of at least 6 heads or tails (Example 2)</t>
  </si>
  <si>
    <t>Z</t>
  </si>
  <si>
    <t>=GAMMA.DIST(B6,B4,B5,TRUE)</t>
  </si>
  <si>
    <t>=1-EXPON.DIST(B4,B3,TRUE)</t>
  </si>
  <si>
    <t>=1-EXPON.DIST(B9,B8,TRUE)</t>
  </si>
  <si>
    <t>Chart of exponential distribution (Figure 1)</t>
  </si>
  <si>
    <t>Paired samples (Example 3)</t>
  </si>
  <si>
    <t>Two independent samples (Example 4)</t>
  </si>
  <si>
    <t>Calculating sample size (Example 5)</t>
  </si>
  <si>
    <t>Confidence interval for effect size (Example 6)</t>
  </si>
  <si>
    <t>Confidence interval for power (Example 7)</t>
  </si>
  <si>
    <t>Basic concepts of the F distribution</t>
  </si>
  <si>
    <t>Example of the various functions (Figure 1)</t>
  </si>
  <si>
    <t>F.DIST, cum = FALSE</t>
  </si>
  <si>
    <t>F.DIST, cum = TRUE</t>
  </si>
  <si>
    <t>F.DIST.RT</t>
  </si>
  <si>
    <t>FDIST</t>
  </si>
  <si>
    <t>F.INV</t>
  </si>
  <si>
    <t>F.INV.RT</t>
  </si>
  <si>
    <t>FINV</t>
  </si>
  <si>
    <t>F Distribution Functions</t>
  </si>
  <si>
    <t>Noncentral F distribution and inverse functions</t>
  </si>
  <si>
    <t>Noncentral distribution and inverse functions</t>
  </si>
  <si>
    <t>one-tailed</t>
  </si>
  <si>
    <t>two-tailed</t>
  </si>
  <si>
    <t>Examples 2-4 using Excel 2007</t>
  </si>
  <si>
    <t>1-CHIDIST</t>
  </si>
  <si>
    <t>GAMMA.DIST</t>
  </si>
  <si>
    <t>Single sample hypothesis testing of variance</t>
  </si>
  <si>
    <t>Examples of equivalent functions (Figure 5)</t>
  </si>
  <si>
    <t>Examples of equivalent chi-square functions</t>
  </si>
  <si>
    <t>Sort by rows (Example 1)</t>
  </si>
  <si>
    <t>Sort rows removing duplicates (Example 2)</t>
  </si>
  <si>
    <t>Extract columns from data range (Example 1)</t>
  </si>
  <si>
    <t>Select columns from data range (Example 2)</t>
  </si>
  <si>
    <t>Normal distribution sample (Figure 2)</t>
  </si>
  <si>
    <t>Paired t test with missing data</t>
  </si>
  <si>
    <t>One sample data analysis (Example 3)</t>
  </si>
  <si>
    <t>Comparing paired and independent approaches (Figure 7 and 8)</t>
  </si>
  <si>
    <t>Two paired samples data analysis tool with missing data (Example 2)</t>
  </si>
  <si>
    <t>=STDEV.S(A4:A14)</t>
  </si>
  <si>
    <t>=T.INV(1-G10,G11)</t>
  </si>
  <si>
    <t>=STDEV.S(A5:B15)</t>
  </si>
  <si>
    <t>=T.INV.2T(E15,E16)</t>
  </si>
  <si>
    <t>Grubbs/ESD Test</t>
  </si>
  <si>
    <r>
      <t>Product Reliability Acceptance Test</t>
    </r>
    <r>
      <rPr>
        <sz val="11"/>
        <color theme="1"/>
        <rFont val="Calibri"/>
        <family val="2"/>
      </rPr>
      <t xml:space="preserve"> </t>
    </r>
  </si>
  <si>
    <t># failures</t>
  </si>
  <si>
    <t>confidence</t>
  </si>
  <si>
    <t>MMTF</t>
  </si>
  <si>
    <t>test time</t>
  </si>
  <si>
    <t>=0.5*C3*CHISQ.INV.RT(C5,2*(C4+1))</t>
  </si>
  <si>
    <t>Product reliability acceptance test (Example 3)</t>
  </si>
  <si>
    <t>Index of dispersion (Example 5)</t>
  </si>
  <si>
    <t>Index of Dispersion</t>
  </si>
  <si>
    <t>=CHISQ.DIST.RT(E4,E5)</t>
  </si>
  <si>
    <t>Real statistics STANDARD function (Example 2)</t>
  </si>
  <si>
    <t>Identifying outliers</t>
  </si>
  <si>
    <t>mean and stdev</t>
  </si>
  <si>
    <t>q1, q3 and iqr</t>
  </si>
  <si>
    <t>q1</t>
  </si>
  <si>
    <t>q3</t>
  </si>
  <si>
    <t>iqr</t>
  </si>
  <si>
    <t>Weibull distribution (Example 2)</t>
  </si>
  <si>
    <r>
      <t>h(</t>
    </r>
    <r>
      <rPr>
        <sz val="11"/>
        <color theme="1"/>
        <rFont val="Calibri"/>
        <family val="2"/>
      </rPr>
      <t>β)</t>
    </r>
  </si>
  <si>
    <t>F(2000)</t>
  </si>
  <si>
    <t>Scatter Chart (Example 4)</t>
  </si>
  <si>
    <t>Step Chart (Example 5)</t>
  </si>
  <si>
    <t>Duplicated</t>
  </si>
  <si>
    <t>Modified</t>
  </si>
  <si>
    <t>Step Chart</t>
  </si>
  <si>
    <t>Real Statistics Step Chart</t>
  </si>
  <si>
    <t>Area A</t>
  </si>
  <si>
    <t>Area B</t>
  </si>
  <si>
    <t>Area C</t>
  </si>
  <si>
    <t>Step chart</t>
  </si>
  <si>
    <t>Binomial Distribution - Critical Values</t>
  </si>
  <si>
    <t>inv</t>
  </si>
  <si>
    <t>α/2</t>
  </si>
  <si>
    <t>1-α/2</t>
  </si>
  <si>
    <t>Critical values</t>
  </si>
  <si>
    <t>Shape (skewness and kurtosis)</t>
  </si>
  <si>
    <t>skew</t>
  </si>
  <si>
    <t>kurt</t>
  </si>
  <si>
    <t>pop</t>
  </si>
  <si>
    <t>Kurtosis test</t>
  </si>
  <si>
    <t>Skewness test</t>
  </si>
  <si>
    <t>D'Agostino-Pearson</t>
  </si>
  <si>
    <t>stat</t>
  </si>
  <si>
    <t>Shapiro-Wilk</t>
  </si>
  <si>
    <t>KURTP</t>
  </si>
  <si>
    <t>SKEWP</t>
  </si>
  <si>
    <t>skewness</t>
  </si>
  <si>
    <t>test stat</t>
  </si>
  <si>
    <t>=1-NORM.S.DIST(ABS(Y9),TRUE)</t>
  </si>
  <si>
    <t>=Y7-Y8*NORM.S.INV(1-Y5/2)</t>
  </si>
  <si>
    <t>=Y7+Y8*NORM.S.INV(1-Y5/2)</t>
  </si>
  <si>
    <t>kurtosis</t>
  </si>
  <si>
    <t>=1-NORM.S.DIST(ABS(AD9),TRUE)</t>
  </si>
  <si>
    <t>=AD7-AD8*NORM.S.INV(1-AD5/2)</t>
  </si>
  <si>
    <t>=AD7+AD8*NORM.S.INV(1-AD5/2)</t>
  </si>
  <si>
    <t>=CHISQ.DIST.RT(Y16,2)</t>
  </si>
  <si>
    <t>Democrat</t>
  </si>
  <si>
    <t>Republican</t>
  </si>
  <si>
    <t>Independent</t>
  </si>
  <si>
    <t>Pro Life</t>
  </si>
  <si>
    <t>Pro Choice</t>
  </si>
  <si>
    <t>X</t>
  </si>
  <si>
    <t>Y</t>
  </si>
  <si>
    <t>Fisher exact test (Example 2)</t>
  </si>
  <si>
    <t>Random number generation</t>
  </si>
  <si>
    <t>Random Number Generation</t>
  </si>
  <si>
    <t>RANDOM</t>
  </si>
  <si>
    <t>#</t>
  </si>
  <si>
    <t>weights</t>
  </si>
  <si>
    <t>WRAND</t>
  </si>
  <si>
    <t>WRANDOM</t>
  </si>
  <si>
    <t>Confidence interval for Poisson mean</t>
  </si>
  <si>
    <t>Confidence interval for the mean</t>
  </si>
  <si>
    <t>Indices of Diversity</t>
  </si>
  <si>
    <t>Shannon's Index of Diversity</t>
  </si>
  <si>
    <t>E</t>
  </si>
  <si>
    <t>log p</t>
  </si>
  <si>
    <t>H'</t>
  </si>
  <si>
    <t>max H'</t>
  </si>
  <si>
    <t>J'</t>
  </si>
  <si>
    <t>Brillouin’s Index of Diversity</t>
  </si>
  <si>
    <t>log freq!</t>
  </si>
  <si>
    <t>log</t>
  </si>
  <si>
    <t>H</t>
  </si>
  <si>
    <t>max H</t>
  </si>
  <si>
    <t>Diversity Indices</t>
  </si>
  <si>
    <t># of elements</t>
  </si>
  <si>
    <t># of categories</t>
  </si>
  <si>
    <t>Shannon</t>
  </si>
  <si>
    <t>Brillouin</t>
  </si>
  <si>
    <t>Simpson</t>
  </si>
  <si>
    <t>Sm Sample</t>
  </si>
  <si>
    <t>diversity index</t>
  </si>
  <si>
    <t>D index</t>
  </si>
  <si>
    <t>max index</t>
  </si>
  <si>
    <t>1-D</t>
  </si>
  <si>
    <t>homogeneity</t>
  </si>
  <si>
    <t>1/D</t>
  </si>
  <si>
    <t>Simpson's Index of Diversity</t>
  </si>
  <si>
    <t>D'</t>
  </si>
  <si>
    <t>1-D'</t>
  </si>
  <si>
    <t>1/D'</t>
  </si>
  <si>
    <t>Shannon's Index (Example 1)</t>
  </si>
  <si>
    <t>Simpson's Index (Example 3)</t>
  </si>
  <si>
    <t>Brillouin's Index (Example 2)</t>
  </si>
  <si>
    <t>Exponential distribution (Example 1)</t>
  </si>
  <si>
    <t>Inter-arrival</t>
  </si>
  <si>
    <t>x'</t>
  </si>
  <si>
    <t>y-pred</t>
  </si>
  <si>
    <t>residual</t>
  </si>
  <si>
    <t>Time to Failure</t>
  </si>
  <si>
    <t>Grand Min</t>
  </si>
  <si>
    <t>Box plot with outliers</t>
  </si>
  <si>
    <t>Combining multiple samples</t>
  </si>
  <si>
    <r>
      <t>x</t>
    </r>
    <r>
      <rPr>
        <vertAlign val="superscript"/>
        <sz val="11"/>
        <color theme="1"/>
        <rFont val="Calibri"/>
        <family val="2"/>
        <scheme val="minor"/>
      </rPr>
      <t>2</t>
    </r>
  </si>
  <si>
    <r>
      <t>x</t>
    </r>
    <r>
      <rPr>
        <sz val="11"/>
        <color theme="1"/>
        <rFont val="Arial Unicode MS"/>
        <family val="2"/>
      </rPr>
      <t>̄</t>
    </r>
  </si>
  <si>
    <r>
      <t>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</si>
  <si>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nx̄</t>
    </r>
    <r>
      <rPr>
        <vertAlign val="superscript"/>
        <sz val="11"/>
        <color theme="1"/>
        <rFont val="Calibri"/>
        <family val="2"/>
        <scheme val="minor"/>
      </rPr>
      <t>2</t>
    </r>
  </si>
  <si>
    <r>
      <t>(n-1)s</t>
    </r>
    <r>
      <rPr>
        <vertAlign val="superscript"/>
        <sz val="11"/>
        <color theme="1"/>
        <rFont val="Calibri"/>
        <family val="2"/>
        <scheme val="minor"/>
      </rPr>
      <t>2</t>
    </r>
  </si>
  <si>
    <t>Combining two samples (Example 4)</t>
  </si>
  <si>
    <t>Combining two or more samples (Example 5)</t>
  </si>
  <si>
    <t>Variance, standard deviation, etc. (Examples 1,2, 6-10)</t>
  </si>
  <si>
    <t>Indentifying Outliers</t>
  </si>
  <si>
    <t>Identifying Outliers</t>
  </si>
  <si>
    <t>Testing of Coefficient of Variation</t>
  </si>
  <si>
    <t>One sample testing (Example 1)</t>
  </si>
  <si>
    <t>Two sample testing Example 2)</t>
  </si>
  <si>
    <t>Single Sample Test of the Coefficient of Variation</t>
  </si>
  <si>
    <t>Length</t>
  </si>
  <si>
    <t>=STDEV.S(A4:A13)</t>
  </si>
  <si>
    <t>V</t>
  </si>
  <si>
    <t>unbiased V</t>
  </si>
  <si>
    <t>=T.DIST.2T(G9,G10)</t>
  </si>
  <si>
    <t>=T.INV.2T(G12,G10)</t>
  </si>
  <si>
    <t>Two Sample Test of the Coefficient of Variation</t>
  </si>
  <si>
    <t>Weight</t>
  </si>
  <si>
    <t>Height</t>
  </si>
  <si>
    <t>V-pooled</t>
  </si>
  <si>
    <t>=STDEV.S(B4:B14)</t>
  </si>
  <si>
    <t>=2*(1-NORM.S.DIST(K6,TRUE))</t>
  </si>
  <si>
    <t>n-1</t>
  </si>
  <si>
    <t>=NORM.S.INV(1-K8/2)</t>
  </si>
  <si>
    <t>Real Statistics RANK_AVG vs. Excel RANK.AVG function</t>
  </si>
  <si>
    <t>Real Statistics RANK_AVG function</t>
  </si>
  <si>
    <t>S1</t>
  </si>
  <si>
    <t>S2</t>
  </si>
  <si>
    <t>S1 - S2</t>
  </si>
  <si>
    <t>RANK.AVG</t>
  </si>
  <si>
    <t>RANK_AVG</t>
  </si>
  <si>
    <t>=NORM.S.INV(1-B13/2)</t>
  </si>
  <si>
    <t>Max</t>
  </si>
  <si>
    <t>formula</t>
  </si>
  <si>
    <t>Example 0</t>
  </si>
  <si>
    <t>α = 1</t>
  </si>
  <si>
    <t>α = .5</t>
  </si>
  <si>
    <t>GRUBBS formula</t>
  </si>
  <si>
    <r>
      <t>σ</t>
    </r>
    <r>
      <rPr>
        <vertAlign val="superscript"/>
        <sz val="11"/>
        <color theme="1"/>
        <rFont val="Calibri"/>
        <family val="2"/>
      </rPr>
      <t>2</t>
    </r>
  </si>
  <si>
    <r>
      <t>s</t>
    </r>
    <r>
      <rPr>
        <vertAlign val="superscript"/>
        <sz val="11"/>
        <color theme="1"/>
        <rFont val="Calibri"/>
        <family val="2"/>
      </rPr>
      <t>2</t>
    </r>
  </si>
  <si>
    <t>=CHISQ.INV.RT(E10,E9)</t>
  </si>
  <si>
    <t>=CHISQ.DIST(E11/E7,E9,TRUE)</t>
  </si>
  <si>
    <t>=CHISQ.DIST.RT(E23/E19,E21)</t>
  </si>
  <si>
    <t>=CHISQ.DIST(J12/J7,J9,TRUE)-CHISQ.DIST(J11/J7,J9,TRUE)</t>
  </si>
  <si>
    <t>width</t>
  </si>
  <si>
    <t>area</t>
  </si>
  <si>
    <t>Continuous probability distributions</t>
  </si>
  <si>
    <t>Chi-square cumulative distribution</t>
  </si>
  <si>
    <t>Formulas in column E</t>
  </si>
  <si>
    <t>=VAR.S(A4:A18)</t>
  </si>
  <si>
    <t>Real Statistics Using Excel - Examples Workbook Part 1A</t>
  </si>
  <si>
    <t>Distribution Fitting via Method of Moments</t>
  </si>
  <si>
    <t>Distribution Fitting via Max Likelihood</t>
  </si>
  <si>
    <t>Uniform Distribution - Method of Moments</t>
  </si>
  <si>
    <t>=STDEV.S(B3:C12)</t>
  </si>
  <si>
    <t>Weibull Distribution  - Method of Moments</t>
  </si>
  <si>
    <t>Exponential Distribution - Method of Moments</t>
  </si>
  <si>
    <t>x-bar</t>
  </si>
  <si>
    <r>
      <t>h'(</t>
    </r>
    <r>
      <rPr>
        <sz val="11"/>
        <color theme="1"/>
        <rFont val="Calibri"/>
        <family val="2"/>
      </rPr>
      <t>β)</t>
    </r>
  </si>
  <si>
    <t>Weibull Distribution -Method of Moments</t>
  </si>
  <si>
    <t>Weibull Estimation using MLE and Solver</t>
  </si>
  <si>
    <t>LL</t>
  </si>
  <si>
    <t>MLE</t>
  </si>
  <si>
    <t>Weibull Estimation using MLE and Newton's Method</t>
  </si>
  <si>
    <t>γ</t>
  </si>
  <si>
    <t>v</t>
  </si>
  <si>
    <t>mean act</t>
  </si>
  <si>
    <t>mean est</t>
  </si>
  <si>
    <t>s</t>
  </si>
  <si>
    <t>var act</t>
  </si>
  <si>
    <t>h(β)</t>
  </si>
  <si>
    <t>var est</t>
  </si>
  <si>
    <t>h'(β)</t>
  </si>
  <si>
    <t>mle</t>
  </si>
  <si>
    <t>Uniform Distribution - MLE</t>
  </si>
  <si>
    <t>iter = 1</t>
  </si>
  <si>
    <t>iter = 0</t>
  </si>
  <si>
    <t>iter = 10</t>
  </si>
  <si>
    <t>iter</t>
  </si>
  <si>
    <t>Beta Distribution Estimation using Newton's Method</t>
  </si>
  <si>
    <t>Solver</t>
  </si>
  <si>
    <t>Moments (BETA_FITM)</t>
  </si>
  <si>
    <t>MLE (BETA_FIT)</t>
  </si>
  <si>
    <t>ln x</t>
  </si>
  <si>
    <t>ln(1-x)</t>
  </si>
  <si>
    <t>lnx-bar</t>
  </si>
  <si>
    <t>ln(1-x)-bar</t>
  </si>
  <si>
    <t>g</t>
  </si>
  <si>
    <t>Weibull Estimation using Regression</t>
  </si>
  <si>
    <t>Regression Analysis</t>
  </si>
  <si>
    <t>i</t>
  </si>
  <si>
    <t>sort x</t>
  </si>
  <si>
    <t>ln(x)</t>
  </si>
  <si>
    <t>ln(-ln(1-F(x)))</t>
  </si>
  <si>
    <r>
      <t>-β ln(</t>
    </r>
    <r>
      <rPr>
        <sz val="11"/>
        <color theme="1"/>
        <rFont val="Calibri"/>
        <family val="2"/>
      </rPr>
      <t>α)</t>
    </r>
  </si>
  <si>
    <t>OVERALL FIT</t>
  </si>
  <si>
    <t>Multiple R</t>
  </si>
  <si>
    <t>AIC</t>
  </si>
  <si>
    <t>R Square</t>
  </si>
  <si>
    <t>AICc</t>
  </si>
  <si>
    <t>Adjusted R Square</t>
  </si>
  <si>
    <t>SBC</t>
  </si>
  <si>
    <t>ANOVA</t>
  </si>
  <si>
    <t>MS</t>
  </si>
  <si>
    <t>R-square</t>
  </si>
  <si>
    <t>Regression</t>
  </si>
  <si>
    <t>Residual</t>
  </si>
  <si>
    <t>coeff</t>
  </si>
  <si>
    <t>Intercept</t>
  </si>
  <si>
    <t>r-sq</t>
  </si>
  <si>
    <t>Distribution Fitting via Regression</t>
  </si>
  <si>
    <t>Weibull distribution using Newton's Method</t>
  </si>
  <si>
    <t>Beta Distribution Estimation using Method of Moments</t>
  </si>
  <si>
    <t>=VAR.S(A4:A21)</t>
  </si>
  <si>
    <t>=VAR.S(C4:C15)</t>
  </si>
  <si>
    <t>mean act.</t>
  </si>
  <si>
    <t>mean est.</t>
  </si>
  <si>
    <t>var act.</t>
  </si>
  <si>
    <t>var est.</t>
  </si>
  <si>
    <t>Estimating the parameters of a Gamma Distribution via MLE</t>
  </si>
  <si>
    <t>mean x</t>
  </si>
  <si>
    <t>mean ln x</t>
  </si>
  <si>
    <t>ln mean x</t>
  </si>
  <si>
    <t>Boxplot with negative data</t>
  </si>
  <si>
    <t>Scatter Plot</t>
  </si>
  <si>
    <t>District</t>
  </si>
  <si>
    <t>Cost</t>
  </si>
  <si>
    <t>NE</t>
  </si>
  <si>
    <t>NW</t>
  </si>
  <si>
    <t>SE</t>
  </si>
  <si>
    <t>SW</t>
  </si>
  <si>
    <t>Noncentral  F distribution and power</t>
  </si>
  <si>
    <t>Cochran-Mantel-Haenzsel Test</t>
  </si>
  <si>
    <t>Polution</t>
  </si>
  <si>
    <t>Smoke</t>
  </si>
  <si>
    <t>Cancer</t>
  </si>
  <si>
    <t>No Cancer</t>
  </si>
  <si>
    <t>Low</t>
  </si>
  <si>
    <t>Cig</t>
  </si>
  <si>
    <t>Elec</t>
  </si>
  <si>
    <t>Medium</t>
  </si>
  <si>
    <t>High</t>
  </si>
  <si>
    <t>CMH Test</t>
  </si>
  <si>
    <t>CMHTest</t>
  </si>
  <si>
    <t>no Yates</t>
  </si>
  <si>
    <t>e</t>
  </si>
  <si>
    <t>ad/n</t>
  </si>
  <si>
    <t>bc/n</t>
  </si>
  <si>
    <t>OR</t>
  </si>
  <si>
    <t>L</t>
  </si>
  <si>
    <t>χ2 (Yates)</t>
  </si>
  <si>
    <t>Confidence Interval</t>
  </si>
  <si>
    <t>tv</t>
  </si>
  <si>
    <t>tw</t>
  </si>
  <si>
    <t>uv</t>
  </si>
  <si>
    <t>uw</t>
  </si>
  <si>
    <t>q</t>
  </si>
  <si>
    <t>r</t>
  </si>
  <si>
    <t>Heterogenity Test</t>
  </si>
  <si>
    <t>WoolfTest</t>
  </si>
  <si>
    <t>Chi-square independence test</t>
  </si>
  <si>
    <t>CMH Test (Figure 3 and 4)</t>
  </si>
  <si>
    <t>Data set (Figure 2)</t>
  </si>
  <si>
    <t>Woolf's homogenity test (Figure 5)</t>
  </si>
  <si>
    <t>Cochran-Mantel-Haenszel Test</t>
  </si>
  <si>
    <t>Real Statistics support (Figure 7)</t>
  </si>
  <si>
    <t>Odds Ratios</t>
  </si>
  <si>
    <t>Woolf Test</t>
  </si>
  <si>
    <t>yates</t>
  </si>
  <si>
    <t>Chi-square independence testing using second version of standard format (Example 4)</t>
  </si>
  <si>
    <t>Chi-square independence testing using first version of standard format (Example 4)</t>
  </si>
  <si>
    <t>censor</t>
  </si>
  <si>
    <t>ncensor</t>
  </si>
  <si>
    <t>ln(cen)</t>
  </si>
  <si>
    <t>Plot of Weibull Distribution</t>
  </si>
  <si>
    <t>beta 0.4</t>
  </si>
  <si>
    <t>beta 1.0</t>
  </si>
  <si>
    <t>beta 2.0</t>
  </si>
  <si>
    <t>beta 5.0</t>
  </si>
  <si>
    <t>alpha 0.4</t>
  </si>
  <si>
    <t>alpha 0.8</t>
  </si>
  <si>
    <t>alpha 1.2</t>
  </si>
  <si>
    <t>alpha 1.6</t>
  </si>
  <si>
    <t>Mean residual life</t>
  </si>
  <si>
    <t>Time</t>
  </si>
  <si>
    <t>MRL</t>
  </si>
  <si>
    <t>Var</t>
  </si>
  <si>
    <t>F(t)</t>
  </si>
  <si>
    <t>MRL(t)</t>
  </si>
  <si>
    <t>Weibull distribution with censored data (Newton's Method)</t>
  </si>
  <si>
    <t>Weibull distribution with censored data (Solver)</t>
  </si>
  <si>
    <t>Weibull distribution via Solver</t>
  </si>
  <si>
    <t>Weibull distribution via Newton's Method</t>
  </si>
  <si>
    <t>Chart of pdf varying beta</t>
  </si>
  <si>
    <t>Chart of pdf varying alpha</t>
  </si>
  <si>
    <t>RealStat</t>
  </si>
  <si>
    <t>Survival Curve for Weibull Distribution</t>
  </si>
  <si>
    <t>Part 1</t>
  </si>
  <si>
    <t>Part 2</t>
  </si>
  <si>
    <t>Survival plot</t>
  </si>
  <si>
    <t>Copyright © 2013 - 2018 Charles Zaiontz</t>
  </si>
  <si>
    <t>d (Real S)</t>
  </si>
  <si>
    <t>Weibull Estimation with censored data using MLE and Newton's Method</t>
  </si>
  <si>
    <t>Weibull Estimation with censored data  using MLE and Solver</t>
  </si>
  <si>
    <t>iterations</t>
  </si>
  <si>
    <t>Moments</t>
  </si>
  <si>
    <t>Real Statistics Analysis Tool</t>
  </si>
  <si>
    <t>Cohen's effect size (Example 6)</t>
  </si>
  <si>
    <t>Power for given mean, one-tailed test (Example 7)</t>
  </si>
  <si>
    <t>Prediction Interval (Example 5)</t>
  </si>
  <si>
    <t>One sample t test -prediction interval</t>
  </si>
  <si>
    <t>T.TEST</t>
  </si>
  <si>
    <t>Wealth</t>
  </si>
  <si>
    <t>Graduate</t>
  </si>
  <si>
    <t>Yes</t>
  </si>
  <si>
    <t>No</t>
  </si>
  <si>
    <t>chi-square</t>
  </si>
  <si>
    <t>V effect</t>
  </si>
  <si>
    <t>w effect</t>
  </si>
  <si>
    <t>=CHISQ.INV.RT(Y2,Y4)</t>
  </si>
  <si>
    <t>Power for two sample variance test, 1 tail (Example 3)</t>
  </si>
  <si>
    <t>Power for two sample variance test, 2 tail (Example 4)</t>
  </si>
  <si>
    <t>Sample size for two-sample variance test (Example 5)</t>
  </si>
  <si>
    <t>Two Sample Variance Testing - confidence interval</t>
  </si>
  <si>
    <t>var1</t>
  </si>
  <si>
    <t>var2</t>
  </si>
  <si>
    <t>=VAR.S(B4:B18)</t>
  </si>
  <si>
    <t>=F.INV.RT(E8/2,E6-1,E7-1)</t>
  </si>
  <si>
    <t>=F.INV(E8/2,65-1,E7-1)</t>
  </si>
  <si>
    <t>Modified t tests</t>
  </si>
  <si>
    <t>Trimmed Means t test</t>
  </si>
  <si>
    <t>Trimmed Mean t Test</t>
  </si>
  <si>
    <t>Mann-Whitney Test for Two Independent Samples</t>
  </si>
  <si>
    <t>QQ Plot - New</t>
  </si>
  <si>
    <t>QQ Plot - Old</t>
  </si>
  <si>
    <t>=VAR.S(A5:A15)</t>
  </si>
  <si>
    <t>trim-count</t>
  </si>
  <si>
    <t>rank sum</t>
  </si>
  <si>
    <t>W-stat</t>
  </si>
  <si>
    <t>trim-mean</t>
  </si>
  <si>
    <t>U</t>
  </si>
  <si>
    <t>winsor-var</t>
  </si>
  <si>
    <t>=VAR.S(D5:D15)</t>
  </si>
  <si>
    <t>one tail</t>
  </si>
  <si>
    <t>two tail</t>
  </si>
  <si>
    <t>Std Norm</t>
  </si>
  <si>
    <t>pooled var</t>
  </si>
  <si>
    <t>d'Agostino-Pearson</t>
  </si>
  <si>
    <t>mean-diff</t>
  </si>
  <si>
    <t>ties</t>
  </si>
  <si>
    <t>DA-stat</t>
  </si>
  <si>
    <t>U-crit</t>
  </si>
  <si>
    <t>sig (norm)</t>
  </si>
  <si>
    <t>sig (table)</t>
  </si>
  <si>
    <t>sig (exact)</t>
  </si>
  <si>
    <t>Yuen-Welch Test</t>
  </si>
  <si>
    <t>se-squared</t>
  </si>
  <si>
    <t>Yuen-Welch test</t>
  </si>
  <si>
    <t>AUC Confidence Interval</t>
  </si>
  <si>
    <t>q0</t>
  </si>
  <si>
    <t>q2</t>
  </si>
  <si>
    <t>se</t>
  </si>
  <si>
    <t>=NORM.S.INV(1-B10/2)</t>
  </si>
  <si>
    <t>Confidence interval for AUC</t>
  </si>
  <si>
    <t>=T.DIST.2T(ABS(H14),H15)</t>
  </si>
  <si>
    <t>Outliers</t>
  </si>
  <si>
    <t>Confidence interval for one sample d</t>
  </si>
  <si>
    <t>sample sd</t>
  </si>
  <si>
    <t>=STDEV.S(B3:E12)</t>
  </si>
  <si>
    <t>Cohen's d</t>
  </si>
  <si>
    <t>=NORM.S.INV(1-H7/2)</t>
  </si>
  <si>
    <t>ncp (= t-stat)</t>
  </si>
  <si>
    <t>Hedges' g</t>
  </si>
  <si>
    <t>Confidence interval for two sample d</t>
  </si>
  <si>
    <t>sample mean 1</t>
  </si>
  <si>
    <t>sample mean 2</t>
  </si>
  <si>
    <t>sample sd 1</t>
  </si>
  <si>
    <t>sample sd 2</t>
  </si>
  <si>
    <t>sample size 1</t>
  </si>
  <si>
    <t>sample size 2</t>
  </si>
  <si>
    <t>sd pooled</t>
  </si>
  <si>
    <t>=NORM.S.INV(1-E11/2)</t>
  </si>
  <si>
    <t>n pooled</t>
  </si>
  <si>
    <t>Effect size (Example 3)</t>
  </si>
  <si>
    <t>Confidence interval for paired sample d</t>
  </si>
  <si>
    <t>=STDEV.S(B4:B18)</t>
  </si>
  <si>
    <t>=STDEV.S(C4:C18)</t>
  </si>
  <si>
    <t>correlation</t>
  </si>
  <si>
    <t>sd (averaged)</t>
  </si>
  <si>
    <t>sd diff</t>
  </si>
  <si>
    <t>Confidence interval of effect size for one sample test</t>
  </si>
  <si>
    <t>Confidence interval of effect size for two sample test</t>
  </si>
  <si>
    <t>Confidence interval of effect size for paired sample test</t>
  </si>
  <si>
    <t>=STDEV.S(D4:D18)</t>
  </si>
  <si>
    <t>=NORM.S.INV(1-G7/2)</t>
  </si>
  <si>
    <t>=CHISQ.INV.RT(B3,B6)</t>
  </si>
  <si>
    <t>=NCHISQ_DIST(B7,B6,B11,TRUE)</t>
  </si>
  <si>
    <t>Charles Zaiontz, 6 May 2018</t>
  </si>
  <si>
    <t>Dot Plots</t>
  </si>
  <si>
    <t>Dot Plot</t>
  </si>
  <si>
    <t>Dot Plot (manual)</t>
  </si>
  <si>
    <t>Dot Plot (Real Statistics)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</si>
</sst>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64" formatCode="_(&quot;£&quot;* #,##0.00_);_(&quot;£&quot;* \(#,##0.00\);_(&quot;£&quot;* &quot;-&quot;??_);_(@_)"/>
    <numFmt numFmtId="165" formatCode="0.0000"/>
    <numFmt numFmtId="166" formatCode="0.0"/>
    <numFmt numFmtId="167" formatCode="0.000"/>
    <numFmt numFmtId="168" formatCode="0.00000"/>
    <numFmt numFmtId="169" formatCode="#,##0.0"/>
    <numFmt numFmtId="170" formatCode="0.0000000000"/>
    <numFmt numFmtId="171" formatCode="_-* #,##0.0_-;\-* #,##0.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sz val="10"/>
      <color theme="1"/>
      <name val="Arial Unicode MS"/>
      <family val="2"/>
    </font>
    <font>
      <b/>
      <u/>
      <sz val="11"/>
      <color theme="10"/>
      <name val="Calibri"/>
      <family val="2"/>
    </font>
    <font>
      <sz val="11.5"/>
      <color theme="1"/>
      <name val="Cambria"/>
      <family val="1"/>
    </font>
    <font>
      <sz val="11"/>
      <color theme="1"/>
      <name val="Arial Unicode MS"/>
      <family val="2"/>
    </font>
    <font>
      <i/>
      <sz val="11"/>
      <name val="Calibri"/>
      <family val="2"/>
      <scheme val="minor"/>
    </font>
    <font>
      <vertAlign val="superscript"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13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9">
    <xf numFmtId="0" fontId="0" fillId="0" borderId="0" xfId="0"/>
    <xf numFmtId="0" fontId="2" fillId="0" borderId="0" xfId="0" applyFont="1"/>
    <xf numFmtId="0" fontId="3" fillId="0" borderId="0" xfId="2" applyAlignment="1" applyProtection="1"/>
    <xf numFmtId="0" fontId="2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1" applyNumberFormat="1" applyFont="1"/>
    <xf numFmtId="0" fontId="2" fillId="0" borderId="0" xfId="1" applyNumberFormat="1" applyFont="1" applyAlignment="1">
      <alignment horizontal="center"/>
    </xf>
    <xf numFmtId="0" fontId="2" fillId="0" borderId="0" xfId="1" applyNumberFormat="1" applyFont="1"/>
    <xf numFmtId="0" fontId="1" fillId="0" borderId="0" xfId="1" applyNumberFormat="1" applyFont="1" applyBorder="1"/>
    <xf numFmtId="0" fontId="0" fillId="0" borderId="0" xfId="1" applyNumberFormat="1" applyFont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1" xfId="0" applyBorder="1" applyAlignment="1">
      <alignment horizontal="right"/>
    </xf>
    <xf numFmtId="2" fontId="0" fillId="0" borderId="0" xfId="0" applyNumberFormat="1"/>
    <xf numFmtId="0" fontId="0" fillId="0" borderId="0" xfId="0" quotePrefix="1"/>
    <xf numFmtId="165" fontId="0" fillId="0" borderId="0" xfId="0" applyNumberFormat="1"/>
    <xf numFmtId="0" fontId="0" fillId="0" borderId="0" xfId="0" applyFont="1"/>
    <xf numFmtId="165" fontId="0" fillId="0" borderId="0" xfId="0" applyNumberFormat="1" applyFont="1"/>
    <xf numFmtId="0" fontId="5" fillId="0" borderId="15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NumberFormat="1" applyFill="1" applyBorder="1" applyAlignment="1"/>
    <xf numFmtId="10" fontId="0" fillId="0" borderId="0" xfId="0" applyNumberFormat="1" applyFill="1" applyBorder="1" applyAlignment="1"/>
    <xf numFmtId="0" fontId="0" fillId="0" borderId="16" xfId="0" applyFill="1" applyBorder="1" applyAlignment="1"/>
    <xf numFmtId="0" fontId="0" fillId="0" borderId="16" xfId="0" applyNumberFormat="1" applyFill="1" applyBorder="1" applyAlignment="1"/>
    <xf numFmtId="10" fontId="0" fillId="0" borderId="16" xfId="0" applyNumberFormat="1" applyFill="1" applyBorder="1" applyAlignment="1"/>
    <xf numFmtId="0" fontId="0" fillId="0" borderId="0" xfId="0" applyAlignment="1">
      <alignment horizontal="center"/>
    </xf>
    <xf numFmtId="0" fontId="5" fillId="0" borderId="15" xfId="0" applyFont="1" applyFill="1" applyBorder="1" applyAlignment="1">
      <alignment horizontal="centerContinuous"/>
    </xf>
    <xf numFmtId="0" fontId="5" fillId="0" borderId="7" xfId="0" applyFont="1" applyBorder="1" applyAlignment="1">
      <alignment horizontal="center"/>
    </xf>
    <xf numFmtId="0" fontId="0" fillId="0" borderId="16" xfId="0" applyBorder="1"/>
    <xf numFmtId="0" fontId="0" fillId="0" borderId="9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13" xfId="0" applyBorder="1"/>
    <xf numFmtId="0" fontId="0" fillId="0" borderId="14" xfId="0" applyBorder="1"/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NumberFormat="1"/>
    <xf numFmtId="0" fontId="0" fillId="0" borderId="10" xfId="0" applyBorder="1"/>
    <xf numFmtId="0" fontId="0" fillId="0" borderId="12" xfId="0" applyBorder="1"/>
    <xf numFmtId="165" fontId="0" fillId="0" borderId="0" xfId="0" applyNumberFormat="1" applyAlignment="1">
      <alignment horizontal="center"/>
    </xf>
    <xf numFmtId="166" fontId="0" fillId="0" borderId="4" xfId="0" applyNumberFormat="1" applyBorder="1"/>
    <xf numFmtId="166" fontId="0" fillId="0" borderId="6" xfId="0" applyNumberFormat="1" applyBorder="1"/>
    <xf numFmtId="0" fontId="0" fillId="0" borderId="10" xfId="0" applyBorder="1" applyAlignment="1">
      <alignment horizontal="center"/>
    </xf>
    <xf numFmtId="165" fontId="0" fillId="0" borderId="3" xfId="0" applyNumberFormat="1" applyBorder="1"/>
    <xf numFmtId="165" fontId="0" fillId="0" borderId="8" xfId="0" applyNumberFormat="1" applyBorder="1"/>
    <xf numFmtId="166" fontId="0" fillId="0" borderId="0" xfId="0" applyNumberFormat="1"/>
    <xf numFmtId="0" fontId="4" fillId="0" borderId="0" xfId="0" applyFont="1"/>
    <xf numFmtId="0" fontId="0" fillId="0" borderId="0" xfId="0" applyFill="1" applyBorder="1"/>
    <xf numFmtId="0" fontId="0" fillId="0" borderId="3" xfId="0" applyNumberFormat="1" applyBorder="1"/>
    <xf numFmtId="0" fontId="0" fillId="0" borderId="5" xfId="0" applyNumberFormat="1" applyBorder="1"/>
    <xf numFmtId="0" fontId="0" fillId="0" borderId="8" xfId="0" applyNumberFormat="1" applyBorder="1"/>
    <xf numFmtId="0" fontId="5" fillId="0" borderId="18" xfId="0" applyFont="1" applyBorder="1" applyAlignment="1">
      <alignment horizontal="center"/>
    </xf>
    <xf numFmtId="1" fontId="0" fillId="0" borderId="0" xfId="0" applyNumberFormat="1"/>
    <xf numFmtId="0" fontId="0" fillId="0" borderId="1" xfId="0" applyNumberFormat="1" applyBorder="1"/>
    <xf numFmtId="0" fontId="0" fillId="0" borderId="2" xfId="0" applyNumberFormat="1" applyBorder="1"/>
    <xf numFmtId="0" fontId="0" fillId="0" borderId="4" xfId="0" applyNumberFormat="1" applyBorder="1"/>
    <xf numFmtId="0" fontId="0" fillId="0" borderId="0" xfId="0" applyNumberFormat="1" applyBorder="1"/>
    <xf numFmtId="0" fontId="0" fillId="0" borderId="6" xfId="0" applyNumberFormat="1" applyBorder="1"/>
    <xf numFmtId="0" fontId="0" fillId="0" borderId="7" xfId="0" applyNumberFormat="1" applyBorder="1"/>
    <xf numFmtId="1" fontId="0" fillId="0" borderId="0" xfId="0" applyNumberFormat="1" applyFill="1" applyBorder="1" applyAlignment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/>
    </xf>
    <xf numFmtId="0" fontId="9" fillId="0" borderId="0" xfId="0" applyFont="1" applyBorder="1"/>
    <xf numFmtId="2" fontId="0" fillId="0" borderId="0" xfId="0" applyNumberFormat="1" applyBorder="1"/>
    <xf numFmtId="167" fontId="0" fillId="0" borderId="0" xfId="0" applyNumberFormat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8" fillId="0" borderId="0" xfId="0" applyFont="1"/>
    <xf numFmtId="0" fontId="11" fillId="0" borderId="0" xfId="0" applyFont="1"/>
    <xf numFmtId="10" fontId="0" fillId="0" borderId="1" xfId="0" applyNumberFormat="1" applyBorder="1"/>
    <xf numFmtId="10" fontId="0" fillId="0" borderId="6" xfId="0" applyNumberFormat="1" applyBorder="1"/>
    <xf numFmtId="0" fontId="0" fillId="0" borderId="0" xfId="0" applyAlignment="1">
      <alignment horizontal="left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4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Border="1" applyAlignment="1">
      <alignment horizontal="left"/>
    </xf>
    <xf numFmtId="166" fontId="0" fillId="0" borderId="0" xfId="0" applyNumberFormat="1" applyBorder="1"/>
    <xf numFmtId="0" fontId="0" fillId="0" borderId="0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2" xfId="0" applyBorder="1" applyAlignment="1">
      <alignment horizontal="right"/>
    </xf>
    <xf numFmtId="0" fontId="0" fillId="0" borderId="32" xfId="0" applyBorder="1"/>
    <xf numFmtId="166" fontId="0" fillId="0" borderId="0" xfId="0" applyNumberFormat="1" applyAlignment="1">
      <alignment horizontal="center"/>
    </xf>
    <xf numFmtId="166" fontId="0" fillId="0" borderId="31" xfId="0" applyNumberFormat="1" applyBorder="1" applyAlignment="1">
      <alignment horizontal="center"/>
    </xf>
    <xf numFmtId="0" fontId="5" fillId="0" borderId="0" xfId="0" applyFont="1"/>
    <xf numFmtId="0" fontId="0" fillId="0" borderId="32" xfId="0" applyBorder="1" applyAlignment="1">
      <alignment horizontal="center"/>
    </xf>
    <xf numFmtId="0" fontId="0" fillId="0" borderId="33" xfId="0" applyBorder="1"/>
    <xf numFmtId="166" fontId="0" fillId="0" borderId="0" xfId="0" applyNumberFormat="1" applyFill="1" applyBorder="1" applyAlignment="1"/>
    <xf numFmtId="0" fontId="0" fillId="0" borderId="16" xfId="0" applyFill="1" applyBorder="1" applyAlignment="1">
      <alignment horizontal="right"/>
    </xf>
    <xf numFmtId="0" fontId="0" fillId="0" borderId="0" xfId="0" quotePrefix="1" applyFill="1" applyBorder="1" applyAlignment="1"/>
    <xf numFmtId="0" fontId="5" fillId="0" borderId="0" xfId="0" applyFont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/>
    <xf numFmtId="0" fontId="0" fillId="0" borderId="34" xfId="0" applyBorder="1"/>
    <xf numFmtId="0" fontId="0" fillId="0" borderId="7" xfId="0" applyBorder="1" applyAlignment="1"/>
    <xf numFmtId="0" fontId="0" fillId="0" borderId="3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right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6" xfId="0" applyBorder="1"/>
    <xf numFmtId="0" fontId="0" fillId="0" borderId="39" xfId="0" applyBorder="1"/>
    <xf numFmtId="0" fontId="0" fillId="0" borderId="37" xfId="0" applyBorder="1"/>
    <xf numFmtId="0" fontId="0" fillId="0" borderId="38" xfId="0" applyBorder="1"/>
    <xf numFmtId="0" fontId="0" fillId="0" borderId="40" xfId="0" applyBorder="1"/>
    <xf numFmtId="166" fontId="0" fillId="0" borderId="7" xfId="0" applyNumberFormat="1" applyBorder="1"/>
    <xf numFmtId="0" fontId="0" fillId="0" borderId="40" xfId="0" applyBorder="1" applyAlignment="1">
      <alignment horizontal="center"/>
    </xf>
    <xf numFmtId="0" fontId="0" fillId="0" borderId="41" xfId="0" applyBorder="1"/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4" fillId="0" borderId="0" xfId="0" applyFont="1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 applyAlignment="1">
      <alignment horizontal="center"/>
    </xf>
    <xf numFmtId="0" fontId="4" fillId="0" borderId="0" xfId="0" applyFont="1" applyBorder="1"/>
    <xf numFmtId="0" fontId="0" fillId="0" borderId="45" xfId="0" applyBorder="1" applyAlignment="1">
      <alignment horizontal="right"/>
    </xf>
    <xf numFmtId="0" fontId="0" fillId="0" borderId="44" xfId="0" applyBorder="1"/>
    <xf numFmtId="0" fontId="0" fillId="0" borderId="46" xfId="0" applyBorder="1"/>
    <xf numFmtId="0" fontId="0" fillId="0" borderId="45" xfId="0" applyBorder="1"/>
    <xf numFmtId="0" fontId="0" fillId="0" borderId="47" xfId="0" applyBorder="1"/>
    <xf numFmtId="0" fontId="0" fillId="0" borderId="42" xfId="0" applyBorder="1" applyAlignment="1">
      <alignment horizontal="center"/>
    </xf>
    <xf numFmtId="0" fontId="0" fillId="2" borderId="42" xfId="0" applyFill="1" applyBorder="1"/>
    <xf numFmtId="0" fontId="0" fillId="0" borderId="47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/>
    <xf numFmtId="0" fontId="0" fillId="0" borderId="52" xfId="0" applyBorder="1"/>
    <xf numFmtId="0" fontId="0" fillId="0" borderId="53" xfId="0" applyBorder="1" applyAlignment="1">
      <alignment horizontal="center"/>
    </xf>
    <xf numFmtId="0" fontId="0" fillId="0" borderId="55" xfId="0" applyBorder="1"/>
    <xf numFmtId="0" fontId="0" fillId="0" borderId="56" xfId="0" applyBorder="1"/>
    <xf numFmtId="0" fontId="0" fillId="0" borderId="49" xfId="0" applyBorder="1"/>
    <xf numFmtId="0" fontId="0" fillId="0" borderId="57" xfId="0" applyBorder="1"/>
    <xf numFmtId="0" fontId="0" fillId="0" borderId="56" xfId="0" applyBorder="1" applyAlignment="1">
      <alignment horizontal="center"/>
    </xf>
    <xf numFmtId="0" fontId="0" fillId="0" borderId="55" xfId="0" applyBorder="1" applyAlignment="1">
      <alignment horizontal="right"/>
    </xf>
    <xf numFmtId="0" fontId="0" fillId="0" borderId="48" xfId="0" applyBorder="1"/>
    <xf numFmtId="0" fontId="0" fillId="0" borderId="51" xfId="0" applyBorder="1"/>
    <xf numFmtId="0" fontId="0" fillId="0" borderId="56" xfId="0" applyFill="1" applyBorder="1"/>
    <xf numFmtId="0" fontId="0" fillId="0" borderId="49" xfId="0" applyFill="1" applyBorder="1"/>
    <xf numFmtId="0" fontId="0" fillId="0" borderId="42" xfId="0" applyFill="1" applyBorder="1"/>
    <xf numFmtId="0" fontId="0" fillId="0" borderId="44" xfId="0" applyFill="1" applyBorder="1"/>
    <xf numFmtId="0" fontId="0" fillId="0" borderId="53" xfId="0" applyBorder="1" applyAlignment="1">
      <alignment horizontal="right"/>
    </xf>
    <xf numFmtId="0" fontId="5" fillId="0" borderId="15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3" xfId="0" applyBorder="1"/>
    <xf numFmtId="0" fontId="0" fillId="0" borderId="54" xfId="0" applyBorder="1"/>
    <xf numFmtId="0" fontId="0" fillId="0" borderId="52" xfId="0" applyBorder="1" applyAlignment="1">
      <alignment horizontal="right"/>
    </xf>
    <xf numFmtId="2" fontId="0" fillId="0" borderId="47" xfId="0" applyNumberFormat="1" applyBorder="1"/>
    <xf numFmtId="2" fontId="0" fillId="0" borderId="48" xfId="0" applyNumberFormat="1" applyBorder="1"/>
    <xf numFmtId="2" fontId="0" fillId="0" borderId="51" xfId="0" applyNumberFormat="1" applyBorder="1"/>
    <xf numFmtId="2" fontId="0" fillId="0" borderId="56" xfId="0" applyNumberFormat="1" applyBorder="1"/>
    <xf numFmtId="2" fontId="0" fillId="0" borderId="49" xfId="0" applyNumberFormat="1" applyBorder="1"/>
    <xf numFmtId="2" fontId="0" fillId="0" borderId="42" xfId="0" applyNumberFormat="1" applyBorder="1"/>
    <xf numFmtId="2" fontId="0" fillId="0" borderId="43" xfId="0" applyNumberFormat="1" applyBorder="1"/>
    <xf numFmtId="2" fontId="0" fillId="0" borderId="44" xfId="0" applyNumberFormat="1" applyBorder="1"/>
    <xf numFmtId="0" fontId="0" fillId="0" borderId="0" xfId="0" applyBorder="1" applyAlignment="1"/>
    <xf numFmtId="0" fontId="0" fillId="0" borderId="57" xfId="0" applyBorder="1" applyAlignment="1">
      <alignment horizontal="right"/>
    </xf>
    <xf numFmtId="0" fontId="0" fillId="0" borderId="46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8" xfId="0" applyBorder="1" applyAlignment="1">
      <alignment horizontal="right"/>
    </xf>
    <xf numFmtId="0" fontId="14" fillId="0" borderId="0" xfId="0" applyFont="1"/>
    <xf numFmtId="0" fontId="14" fillId="3" borderId="46" xfId="0" applyFont="1" applyFill="1" applyBorder="1"/>
    <xf numFmtId="0" fontId="14" fillId="3" borderId="52" xfId="0" applyFont="1" applyFill="1" applyBorder="1"/>
    <xf numFmtId="0" fontId="14" fillId="3" borderId="45" xfId="0" applyFont="1" applyFill="1" applyBorder="1"/>
    <xf numFmtId="0" fontId="3" fillId="0" borderId="0" xfId="2" applyAlignment="1" applyProtection="1">
      <alignment horizontal="left" vertical="center"/>
    </xf>
    <xf numFmtId="0" fontId="8" fillId="0" borderId="0" xfId="0" applyFont="1" applyBorder="1" applyAlignment="1">
      <alignment horizontal="center"/>
    </xf>
    <xf numFmtId="0" fontId="0" fillId="0" borderId="61" xfId="0" applyBorder="1"/>
    <xf numFmtId="0" fontId="0" fillId="0" borderId="6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6" xfId="0" applyNumberFormat="1" applyBorder="1"/>
    <xf numFmtId="0" fontId="0" fillId="0" borderId="45" xfId="0" applyNumberFormat="1" applyBorder="1"/>
    <xf numFmtId="0" fontId="0" fillId="0" borderId="52" xfId="0" applyNumberFormat="1" applyBorder="1"/>
    <xf numFmtId="0" fontId="0" fillId="0" borderId="45" xfId="0" applyNumberFormat="1" applyBorder="1" applyAlignment="1">
      <alignment horizontal="right"/>
    </xf>
    <xf numFmtId="1" fontId="8" fillId="0" borderId="0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1" fontId="8" fillId="0" borderId="43" xfId="0" applyNumberFormat="1" applyFont="1" applyBorder="1" applyAlignment="1">
      <alignment horizontal="center"/>
    </xf>
    <xf numFmtId="0" fontId="3" fillId="0" borderId="0" xfId="2" quotePrefix="1" applyAlignment="1" applyProtection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5" xfId="0" applyBorder="1"/>
    <xf numFmtId="0" fontId="0" fillId="0" borderId="65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5" xfId="0" applyBorder="1" applyAlignment="1">
      <alignment horizontal="right"/>
    </xf>
    <xf numFmtId="0" fontId="0" fillId="0" borderId="62" xfId="0" applyBorder="1"/>
    <xf numFmtId="0" fontId="0" fillId="0" borderId="64" xfId="0" applyBorder="1"/>
    <xf numFmtId="166" fontId="0" fillId="0" borderId="56" xfId="0" applyNumberFormat="1" applyBorder="1"/>
    <xf numFmtId="0" fontId="0" fillId="0" borderId="0" xfId="0" applyFont="1" applyAlignment="1">
      <alignment horizontal="right"/>
    </xf>
    <xf numFmtId="0" fontId="0" fillId="0" borderId="66" xfId="0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9" fillId="0" borderId="0" xfId="0" applyFont="1"/>
    <xf numFmtId="0" fontId="0" fillId="0" borderId="70" xfId="0" applyBorder="1"/>
    <xf numFmtId="0" fontId="0" fillId="0" borderId="0" xfId="0" applyAlignment="1">
      <alignment horizontal="center"/>
    </xf>
    <xf numFmtId="0" fontId="15" fillId="0" borderId="0" xfId="2" applyFont="1" applyAlignment="1" applyProtection="1"/>
    <xf numFmtId="0" fontId="9" fillId="0" borderId="17" xfId="0" applyFont="1" applyBorder="1"/>
    <xf numFmtId="0" fontId="9" fillId="0" borderId="17" xfId="0" applyFont="1" applyBorder="1" applyAlignment="1">
      <alignment horizontal="right"/>
    </xf>
    <xf numFmtId="0" fontId="9" fillId="0" borderId="0" xfId="3" applyFont="1" applyBorder="1" applyAlignment="1">
      <alignment horizontal="right"/>
    </xf>
    <xf numFmtId="166" fontId="9" fillId="0" borderId="0" xfId="3" quotePrefix="1" applyNumberFormat="1" applyFont="1" applyBorder="1" applyAlignment="1">
      <alignment horizontal="right"/>
    </xf>
    <xf numFmtId="166" fontId="9" fillId="0" borderId="0" xfId="0" applyNumberFormat="1" applyFont="1"/>
    <xf numFmtId="3" fontId="9" fillId="0" borderId="0" xfId="3" applyNumberFormat="1" applyFont="1" applyFill="1" applyBorder="1" applyAlignment="1">
      <alignment horizontal="right" wrapText="1"/>
    </xf>
    <xf numFmtId="166" fontId="9" fillId="0" borderId="0" xfId="3" applyNumberFormat="1" applyFont="1" applyBorder="1" applyAlignment="1"/>
    <xf numFmtId="2" fontId="9" fillId="0" borderId="0" xfId="3" applyNumberFormat="1" applyFont="1" applyAlignment="1"/>
    <xf numFmtId="166" fontId="9" fillId="0" borderId="0" xfId="3" applyNumberFormat="1" applyFont="1" applyBorder="1" applyAlignment="1">
      <alignment horizontal="right" wrapText="1"/>
    </xf>
    <xf numFmtId="166" fontId="9" fillId="0" borderId="0" xfId="4" applyNumberFormat="1" applyFont="1" applyAlignment="1"/>
    <xf numFmtId="3" fontId="9" fillId="0" borderId="0" xfId="3" applyNumberFormat="1" applyFont="1"/>
    <xf numFmtId="169" fontId="9" fillId="0" borderId="0" xfId="3" applyNumberFormat="1" applyFont="1" applyBorder="1" applyAlignment="1">
      <alignment horizontal="right"/>
    </xf>
    <xf numFmtId="166" fontId="9" fillId="0" borderId="0" xfId="0" applyNumberFormat="1" applyFont="1" applyBorder="1"/>
    <xf numFmtId="2" fontId="9" fillId="0" borderId="0" xfId="3" applyNumberFormat="1" applyFont="1" applyBorder="1" applyAlignment="1"/>
    <xf numFmtId="166" fontId="9" fillId="0" borderId="0" xfId="4" applyNumberFormat="1" applyFont="1" applyBorder="1" applyAlignment="1"/>
    <xf numFmtId="3" fontId="9" fillId="0" borderId="0" xfId="3" applyNumberFormat="1" applyFont="1" applyBorder="1"/>
    <xf numFmtId="0" fontId="9" fillId="0" borderId="7" xfId="0" applyFont="1" applyBorder="1"/>
    <xf numFmtId="0" fontId="9" fillId="0" borderId="7" xfId="3" applyFont="1" applyBorder="1" applyAlignment="1">
      <alignment horizontal="right"/>
    </xf>
    <xf numFmtId="166" fontId="9" fillId="0" borderId="7" xfId="3" quotePrefix="1" applyNumberFormat="1" applyFont="1" applyBorder="1" applyAlignment="1">
      <alignment horizontal="right"/>
    </xf>
    <xf numFmtId="166" fontId="9" fillId="0" borderId="7" xfId="0" applyNumberFormat="1" applyFont="1" applyBorder="1"/>
    <xf numFmtId="3" fontId="9" fillId="0" borderId="7" xfId="3" applyNumberFormat="1" applyFont="1" applyFill="1" applyBorder="1" applyAlignment="1">
      <alignment horizontal="right" wrapText="1"/>
    </xf>
    <xf numFmtId="166" fontId="9" fillId="0" borderId="7" xfId="3" applyNumberFormat="1" applyFont="1" applyBorder="1" applyAlignment="1"/>
    <xf numFmtId="2" fontId="9" fillId="0" borderId="7" xfId="3" applyNumberFormat="1" applyFont="1" applyBorder="1" applyAlignment="1"/>
    <xf numFmtId="166" fontId="9" fillId="0" borderId="7" xfId="3" applyNumberFormat="1" applyFont="1" applyBorder="1" applyAlignment="1">
      <alignment horizontal="right" wrapText="1"/>
    </xf>
    <xf numFmtId="166" fontId="9" fillId="0" borderId="7" xfId="4" applyNumberFormat="1" applyFont="1" applyBorder="1" applyAlignment="1"/>
    <xf numFmtId="3" fontId="9" fillId="0" borderId="7" xfId="3" applyNumberFormat="1" applyFont="1" applyBorder="1"/>
    <xf numFmtId="0" fontId="0" fillId="2" borderId="44" xfId="0" applyFill="1" applyBorder="1"/>
    <xf numFmtId="0" fontId="0" fillId="0" borderId="72" xfId="0" applyBorder="1"/>
    <xf numFmtId="0" fontId="0" fillId="2" borderId="73" xfId="0" applyFill="1" applyBorder="1"/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0" fillId="2" borderId="72" xfId="0" applyFill="1" applyBorder="1"/>
    <xf numFmtId="0" fontId="0" fillId="2" borderId="56" xfId="0" applyFill="1" applyBorder="1"/>
    <xf numFmtId="0" fontId="0" fillId="2" borderId="49" xfId="0" applyFill="1" applyBorder="1"/>
    <xf numFmtId="0" fontId="0" fillId="4" borderId="56" xfId="0" applyFill="1" applyBorder="1"/>
    <xf numFmtId="0" fontId="0" fillId="4" borderId="49" xfId="0" applyFill="1" applyBorder="1"/>
    <xf numFmtId="0" fontId="0" fillId="0" borderId="79" xfId="0" applyBorder="1" applyAlignment="1">
      <alignment horizontal="center"/>
    </xf>
    <xf numFmtId="0" fontId="0" fillId="0" borderId="81" xfId="0" applyBorder="1"/>
    <xf numFmtId="0" fontId="0" fillId="0" borderId="82" xfId="0" applyBorder="1"/>
    <xf numFmtId="0" fontId="0" fillId="0" borderId="83" xfId="0" applyBorder="1"/>
    <xf numFmtId="0" fontId="0" fillId="0" borderId="80" xfId="0" applyBorder="1"/>
    <xf numFmtId="0" fontId="0" fillId="0" borderId="62" xfId="0" applyBorder="1" applyAlignment="1">
      <alignment horizontal="right"/>
    </xf>
    <xf numFmtId="0" fontId="0" fillId="0" borderId="64" xfId="0" applyBorder="1" applyAlignment="1">
      <alignment horizontal="right"/>
    </xf>
    <xf numFmtId="166" fontId="0" fillId="0" borderId="42" xfId="0" applyNumberFormat="1" applyBorder="1"/>
    <xf numFmtId="0" fontId="0" fillId="0" borderId="84" xfId="0" applyBorder="1"/>
    <xf numFmtId="0" fontId="5" fillId="0" borderId="86" xfId="0" applyFont="1" applyBorder="1" applyAlignment="1">
      <alignment horizontal="center"/>
    </xf>
    <xf numFmtId="0" fontId="0" fillId="0" borderId="87" xfId="0" applyBorder="1"/>
    <xf numFmtId="0" fontId="0" fillId="0" borderId="85" xfId="0" applyBorder="1"/>
    <xf numFmtId="0" fontId="0" fillId="0" borderId="0" xfId="0" quotePrefix="1" applyBorder="1"/>
    <xf numFmtId="0" fontId="0" fillId="0" borderId="88" xfId="0" applyBorder="1"/>
    <xf numFmtId="0" fontId="0" fillId="0" borderId="0" xfId="0" applyAlignment="1">
      <alignment horizontal="center"/>
    </xf>
    <xf numFmtId="0" fontId="5" fillId="0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52" xfId="0" applyFill="1" applyBorder="1"/>
    <xf numFmtId="0" fontId="0" fillId="0" borderId="45" xfId="0" applyFill="1" applyBorder="1"/>
    <xf numFmtId="9" fontId="0" fillId="0" borderId="0" xfId="0" applyNumberFormat="1" applyFill="1" applyBorder="1" applyAlignment="1"/>
    <xf numFmtId="9" fontId="0" fillId="0" borderId="16" xfId="0" applyNumberFormat="1" applyFill="1" applyBorder="1" applyAlignment="1"/>
    <xf numFmtId="0" fontId="0" fillId="0" borderId="6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0" fillId="0" borderId="93" xfId="0" applyBorder="1"/>
    <xf numFmtId="0" fontId="0" fillId="0" borderId="94" xfId="0" applyBorder="1"/>
    <xf numFmtId="0" fontId="0" fillId="0" borderId="42" xfId="0" applyBorder="1" applyAlignment="1">
      <alignment horizontal="right"/>
    </xf>
    <xf numFmtId="0" fontId="0" fillId="0" borderId="44" xfId="0" applyBorder="1" applyAlignment="1">
      <alignment horizontal="right"/>
    </xf>
    <xf numFmtId="0" fontId="0" fillId="0" borderId="79" xfId="0" applyBorder="1" applyAlignment="1">
      <alignment horizontal="right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79" xfId="0" applyFont="1" applyBorder="1" applyAlignment="1">
      <alignment horizontal="center"/>
    </xf>
    <xf numFmtId="0" fontId="0" fillId="0" borderId="92" xfId="0" quotePrefix="1" applyBorder="1"/>
    <xf numFmtId="0" fontId="0" fillId="0" borderId="52" xfId="0" quotePrefix="1" applyBorder="1"/>
    <xf numFmtId="0" fontId="0" fillId="0" borderId="78" xfId="0" applyBorder="1" applyAlignment="1">
      <alignment horizontal="right"/>
    </xf>
    <xf numFmtId="0" fontId="0" fillId="0" borderId="0" xfId="0" applyAlignment="1"/>
    <xf numFmtId="0" fontId="0" fillId="0" borderId="52" xfId="0" applyBorder="1" applyAlignment="1"/>
    <xf numFmtId="0" fontId="0" fillId="0" borderId="45" xfId="0" applyBorder="1" applyAlignment="1"/>
    <xf numFmtId="0" fontId="0" fillId="0" borderId="93" xfId="0" applyNumberFormat="1" applyBorder="1"/>
    <xf numFmtId="0" fontId="0" fillId="0" borderId="87" xfId="0" applyNumberFormat="1" applyBorder="1"/>
    <xf numFmtId="0" fontId="0" fillId="0" borderId="94" xfId="0" applyNumberFormat="1" applyBorder="1"/>
    <xf numFmtId="0" fontId="0" fillId="0" borderId="56" xfId="0" applyNumberFormat="1" applyBorder="1"/>
    <xf numFmtId="0" fontId="0" fillId="0" borderId="49" xfId="0" applyNumberFormat="1" applyBorder="1"/>
    <xf numFmtId="0" fontId="0" fillId="0" borderId="42" xfId="0" applyNumberFormat="1" applyBorder="1"/>
    <xf numFmtId="0" fontId="0" fillId="0" borderId="79" xfId="0" applyNumberFormat="1" applyBorder="1"/>
    <xf numFmtId="0" fontId="0" fillId="0" borderId="44" xfId="0" applyNumberFormat="1" applyBorder="1"/>
    <xf numFmtId="0" fontId="2" fillId="0" borderId="0" xfId="0" applyFont="1" applyAlignment="1"/>
    <xf numFmtId="2" fontId="0" fillId="0" borderId="45" xfId="0" applyNumberFormat="1" applyBorder="1"/>
    <xf numFmtId="166" fontId="0" fillId="0" borderId="71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5" borderId="11" xfId="0" applyFill="1" applyBorder="1" applyAlignment="1">
      <alignment horizontal="right"/>
    </xf>
    <xf numFmtId="2" fontId="0" fillId="5" borderId="3" xfId="0" applyNumberFormat="1" applyFill="1" applyBorder="1"/>
    <xf numFmtId="2" fontId="0" fillId="5" borderId="5" xfId="0" applyNumberFormat="1" applyFill="1" applyBorder="1"/>
    <xf numFmtId="2" fontId="0" fillId="5" borderId="8" xfId="0" applyNumberFormat="1" applyFill="1" applyBorder="1"/>
    <xf numFmtId="0" fontId="0" fillId="6" borderId="9" xfId="0" applyFill="1" applyBorder="1" applyAlignment="1">
      <alignment horizontal="right"/>
    </xf>
    <xf numFmtId="0" fontId="0" fillId="6" borderId="10" xfId="0" applyFill="1" applyBorder="1" applyAlignment="1">
      <alignment horizontal="right"/>
    </xf>
    <xf numFmtId="0" fontId="0" fillId="6" borderId="1" xfId="0" applyFill="1" applyBorder="1"/>
    <xf numFmtId="0" fontId="0" fillId="6" borderId="12" xfId="0" applyFill="1" applyBorder="1"/>
    <xf numFmtId="0" fontId="0" fillId="6" borderId="4" xfId="0" applyFill="1" applyBorder="1"/>
    <xf numFmtId="0" fontId="0" fillId="6" borderId="13" xfId="0" applyFill="1" applyBorder="1"/>
    <xf numFmtId="0" fontId="0" fillId="6" borderId="6" xfId="0" applyFill="1" applyBorder="1"/>
    <xf numFmtId="0" fontId="0" fillId="6" borderId="14" xfId="0" applyFill="1" applyBorder="1"/>
    <xf numFmtId="0" fontId="0" fillId="6" borderId="0" xfId="0" applyFill="1"/>
    <xf numFmtId="0" fontId="0" fillId="5" borderId="92" xfId="0" quotePrefix="1" applyFill="1" applyBorder="1"/>
    <xf numFmtId="0" fontId="0" fillId="5" borderId="52" xfId="0" applyFill="1" applyBorder="1"/>
    <xf numFmtId="0" fontId="0" fillId="5" borderId="45" xfId="0" applyFill="1" applyBorder="1"/>
    <xf numFmtId="0" fontId="0" fillId="2" borderId="92" xfId="0" applyFill="1" applyBorder="1"/>
    <xf numFmtId="0" fontId="0" fillId="2" borderId="52" xfId="0" applyFill="1" applyBorder="1"/>
    <xf numFmtId="0" fontId="0" fillId="2" borderId="45" xfId="0" applyFill="1" applyBorder="1"/>
    <xf numFmtId="0" fontId="0" fillId="7" borderId="0" xfId="0" applyFill="1" applyBorder="1"/>
    <xf numFmtId="0" fontId="0" fillId="7" borderId="7" xfId="0" applyFill="1" applyBorder="1"/>
    <xf numFmtId="0" fontId="0" fillId="0" borderId="93" xfId="0" applyFill="1" applyBorder="1"/>
    <xf numFmtId="0" fontId="0" fillId="0" borderId="94" xfId="0" applyFill="1" applyBorder="1"/>
    <xf numFmtId="2" fontId="0" fillId="0" borderId="0" xfId="6" applyNumberFormat="1" applyFont="1"/>
    <xf numFmtId="166" fontId="0" fillId="0" borderId="79" xfId="0" applyNumberFormat="1" applyBorder="1"/>
    <xf numFmtId="0" fontId="0" fillId="2" borderId="66" xfId="0" applyFill="1" applyBorder="1" applyAlignment="1">
      <alignment horizontal="center"/>
    </xf>
    <xf numFmtId="0" fontId="0" fillId="2" borderId="67" xfId="0" applyFill="1" applyBorder="1" applyAlignment="1">
      <alignment horizontal="center"/>
    </xf>
    <xf numFmtId="0" fontId="0" fillId="2" borderId="68" xfId="0" applyFill="1" applyBorder="1" applyAlignment="1">
      <alignment horizontal="center"/>
    </xf>
    <xf numFmtId="0" fontId="0" fillId="2" borderId="56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0" borderId="60" xfId="0" quotePrefix="1" applyBorder="1"/>
    <xf numFmtId="0" fontId="0" fillId="0" borderId="45" xfId="0" quotePrefix="1" applyBorder="1"/>
    <xf numFmtId="166" fontId="0" fillId="0" borderId="1" xfId="0" applyNumberFormat="1" applyBorder="1"/>
    <xf numFmtId="166" fontId="0" fillId="0" borderId="87" xfId="0" applyNumberFormat="1" applyBorder="1"/>
    <xf numFmtId="166" fontId="0" fillId="0" borderId="3" xfId="0" applyNumberFormat="1" applyBorder="1"/>
    <xf numFmtId="166" fontId="0" fillId="0" borderId="49" xfId="0" applyNumberFormat="1" applyBorder="1"/>
    <xf numFmtId="166" fontId="0" fillId="0" borderId="44" xfId="0" applyNumberFormat="1" applyBorder="1"/>
    <xf numFmtId="166" fontId="0" fillId="0" borderId="92" xfId="0" applyNumberFormat="1" applyBorder="1"/>
    <xf numFmtId="43" fontId="0" fillId="0" borderId="0" xfId="6" applyFont="1"/>
    <xf numFmtId="0" fontId="4" fillId="0" borderId="0" xfId="0" quotePrefix="1" applyFont="1"/>
    <xf numFmtId="0" fontId="4" fillId="0" borderId="0" xfId="0" quotePrefix="1" applyFont="1" applyFill="1" applyBorder="1"/>
    <xf numFmtId="0" fontId="0" fillId="0" borderId="0" xfId="6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15" xfId="0" applyFont="1" applyFill="1" applyBorder="1" applyAlignment="1">
      <alignment horizontal="center"/>
    </xf>
    <xf numFmtId="2" fontId="0" fillId="0" borderId="62" xfId="0" applyNumberFormat="1" applyBorder="1"/>
    <xf numFmtId="2" fontId="0" fillId="0" borderId="64" xfId="0" applyNumberFormat="1" applyBorder="1"/>
    <xf numFmtId="166" fontId="0" fillId="0" borderId="45" xfId="0" applyNumberFormat="1" applyBorder="1"/>
    <xf numFmtId="2" fontId="0" fillId="0" borderId="93" xfId="0" applyNumberFormat="1" applyBorder="1"/>
    <xf numFmtId="2" fontId="0" fillId="0" borderId="94" xfId="0" applyNumberFormat="1" applyBorder="1"/>
    <xf numFmtId="2" fontId="0" fillId="0" borderId="42" xfId="0" applyNumberFormat="1" applyFill="1" applyBorder="1"/>
    <xf numFmtId="2" fontId="0" fillId="0" borderId="44" xfId="0" applyNumberFormat="1" applyFill="1" applyBorder="1"/>
    <xf numFmtId="2" fontId="0" fillId="0" borderId="92" xfId="6" applyNumberFormat="1" applyFont="1" applyBorder="1"/>
    <xf numFmtId="2" fontId="0" fillId="0" borderId="52" xfId="6" applyNumberFormat="1" applyFont="1" applyBorder="1"/>
    <xf numFmtId="0" fontId="0" fillId="0" borderId="45" xfId="6" applyNumberFormat="1" applyFont="1" applyBorder="1"/>
    <xf numFmtId="0" fontId="0" fillId="0" borderId="52" xfId="6" applyNumberFormat="1" applyFont="1" applyFill="1" applyBorder="1"/>
    <xf numFmtId="170" fontId="0" fillId="0" borderId="0" xfId="0" quotePrefix="1" applyNumberFormat="1"/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79" xfId="0" applyFill="1" applyBorder="1" applyAlignment="1"/>
    <xf numFmtId="0" fontId="0" fillId="0" borderId="59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167" fontId="0" fillId="0" borderId="79" xfId="0" applyNumberFormat="1" applyBorder="1"/>
    <xf numFmtId="0" fontId="0" fillId="0" borderId="92" xfId="0" applyBorder="1" applyAlignment="1">
      <alignment horizontal="center"/>
    </xf>
    <xf numFmtId="0" fontId="0" fillId="0" borderId="94" xfId="0" applyBorder="1" applyAlignment="1">
      <alignment horizontal="center"/>
    </xf>
    <xf numFmtId="0" fontId="0" fillId="4" borderId="42" xfId="0" applyFill="1" applyBorder="1"/>
    <xf numFmtId="0" fontId="0" fillId="4" borderId="44" xfId="0" applyFill="1" applyBorder="1"/>
    <xf numFmtId="0" fontId="0" fillId="0" borderId="0" xfId="0" applyAlignment="1">
      <alignment horizontal="center"/>
    </xf>
    <xf numFmtId="0" fontId="0" fillId="0" borderId="93" xfId="0" applyBorder="1" applyAlignment="1">
      <alignment horizontal="center"/>
    </xf>
    <xf numFmtId="0" fontId="2" fillId="0" borderId="0" xfId="0" applyNumberFormat="1" applyFont="1"/>
    <xf numFmtId="0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95" xfId="0" applyBorder="1"/>
    <xf numFmtId="0" fontId="0" fillId="0" borderId="96" xfId="0" applyBorder="1"/>
    <xf numFmtId="0" fontId="0" fillId="0" borderId="98" xfId="0" applyBorder="1"/>
    <xf numFmtId="0" fontId="5" fillId="0" borderId="60" xfId="0" applyFont="1" applyBorder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5" fillId="0" borderId="96" xfId="0" applyFont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0" borderId="98" xfId="0" applyFont="1" applyBorder="1" applyAlignment="1">
      <alignment horizontal="center"/>
    </xf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0" fillId="4" borderId="52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5" fillId="0" borderId="95" xfId="0" applyFont="1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10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2" xfId="0" applyBorder="1"/>
    <xf numFmtId="0" fontId="5" fillId="0" borderId="104" xfId="0" applyFont="1" applyBorder="1" applyAlignment="1">
      <alignment horizontal="center"/>
    </xf>
    <xf numFmtId="0" fontId="5" fillId="0" borderId="105" xfId="0" applyFont="1" applyBorder="1" applyAlignment="1">
      <alignment horizontal="center"/>
    </xf>
    <xf numFmtId="0" fontId="5" fillId="0" borderId="106" xfId="0" applyFont="1" applyBorder="1" applyAlignment="1">
      <alignment horizontal="center"/>
    </xf>
    <xf numFmtId="0" fontId="0" fillId="0" borderId="107" xfId="0" applyBorder="1"/>
    <xf numFmtId="0" fontId="0" fillId="0" borderId="108" xfId="0" applyBorder="1"/>
    <xf numFmtId="0" fontId="0" fillId="0" borderId="109" xfId="0" applyBorder="1"/>
    <xf numFmtId="0" fontId="5" fillId="0" borderId="103" xfId="0" applyFont="1" applyBorder="1" applyAlignment="1">
      <alignment horizontal="center"/>
    </xf>
    <xf numFmtId="0" fontId="0" fillId="0" borderId="103" xfId="0" applyBorder="1"/>
    <xf numFmtId="0" fontId="0" fillId="0" borderId="104" xfId="0" applyBorder="1"/>
    <xf numFmtId="0" fontId="0" fillId="0" borderId="106" xfId="0" applyBorder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57" xfId="0" applyBorder="1" applyAlignment="1">
      <alignment horizontal="center"/>
    </xf>
    <xf numFmtId="165" fontId="0" fillId="0" borderId="0" xfId="0" applyNumberFormat="1" applyAlignment="1">
      <alignment horizontal="right"/>
    </xf>
    <xf numFmtId="43" fontId="2" fillId="0" borderId="0" xfId="6" applyFont="1"/>
    <xf numFmtId="43" fontId="0" fillId="0" borderId="0" xfId="6" applyFont="1" applyAlignment="1">
      <alignment horizontal="center"/>
    </xf>
    <xf numFmtId="43" fontId="0" fillId="0" borderId="0" xfId="6" applyFont="1" applyAlignment="1">
      <alignment horizontal="right"/>
    </xf>
    <xf numFmtId="0" fontId="0" fillId="0" borderId="0" xfId="0" applyAlignment="1">
      <alignment horizontal="center"/>
    </xf>
    <xf numFmtId="0" fontId="0" fillId="0" borderId="3" xfId="0" applyFill="1" applyBorder="1"/>
    <xf numFmtId="0" fontId="0" fillId="0" borderId="0" xfId="0" applyAlignment="1">
      <alignment horizontal="center"/>
    </xf>
    <xf numFmtId="0" fontId="0" fillId="0" borderId="65" xfId="0" applyBorder="1" applyAlignment="1">
      <alignment horizontal="center"/>
    </xf>
    <xf numFmtId="0" fontId="0" fillId="0" borderId="71" xfId="0" applyBorder="1" applyAlignment="1">
      <alignment horizontal="center"/>
    </xf>
    <xf numFmtId="0" fontId="0" fillId="0" borderId="110" xfId="0" applyBorder="1"/>
    <xf numFmtId="0" fontId="0" fillId="0" borderId="111" xfId="0" applyBorder="1"/>
    <xf numFmtId="0" fontId="0" fillId="0" borderId="112" xfId="0" applyBorder="1" applyAlignment="1">
      <alignment horizontal="center"/>
    </xf>
    <xf numFmtId="0" fontId="0" fillId="0" borderId="113" xfId="0" applyBorder="1" applyAlignment="1">
      <alignment horizontal="center"/>
    </xf>
    <xf numFmtId="0" fontId="0" fillId="0" borderId="114" xfId="0" applyBorder="1" applyAlignment="1">
      <alignment horizontal="center"/>
    </xf>
    <xf numFmtId="0" fontId="0" fillId="0" borderId="115" xfId="0" applyBorder="1" applyAlignment="1">
      <alignment horizontal="center"/>
    </xf>
    <xf numFmtId="0" fontId="0" fillId="0" borderId="116" xfId="0" applyBorder="1" applyAlignment="1">
      <alignment horizontal="center"/>
    </xf>
    <xf numFmtId="0" fontId="0" fillId="0" borderId="117" xfId="0" applyBorder="1" applyAlignment="1">
      <alignment horizontal="center"/>
    </xf>
    <xf numFmtId="0" fontId="0" fillId="0" borderId="76" xfId="0" applyBorder="1" applyAlignment="1">
      <alignment horizontal="right"/>
    </xf>
    <xf numFmtId="0" fontId="0" fillId="0" borderId="77" xfId="0" applyBorder="1" applyAlignment="1">
      <alignment horizontal="right"/>
    </xf>
    <xf numFmtId="0" fontId="16" fillId="0" borderId="0" xfId="0" applyFont="1"/>
    <xf numFmtId="0" fontId="10" fillId="0" borderId="0" xfId="0" applyFont="1"/>
    <xf numFmtId="171" fontId="0" fillId="0" borderId="1" xfId="6" applyNumberFormat="1" applyFont="1" applyBorder="1"/>
    <xf numFmtId="171" fontId="0" fillId="0" borderId="87" xfId="6" applyNumberFormat="1" applyFont="1" applyBorder="1"/>
    <xf numFmtId="171" fontId="0" fillId="0" borderId="3" xfId="6" applyNumberFormat="1" applyFont="1" applyBorder="1"/>
    <xf numFmtId="171" fontId="0" fillId="0" borderId="56" xfId="6" applyNumberFormat="1" applyFont="1" applyBorder="1"/>
    <xf numFmtId="171" fontId="0" fillId="0" borderId="0" xfId="6" applyNumberFormat="1" applyFont="1" applyBorder="1"/>
    <xf numFmtId="171" fontId="0" fillId="0" borderId="49" xfId="6" applyNumberFormat="1" applyFont="1" applyBorder="1"/>
    <xf numFmtId="171" fontId="0" fillId="0" borderId="42" xfId="6" applyNumberFormat="1" applyFont="1" applyBorder="1"/>
    <xf numFmtId="171" fontId="0" fillId="0" borderId="79" xfId="6" applyNumberFormat="1" applyFont="1" applyBorder="1"/>
    <xf numFmtId="171" fontId="0" fillId="0" borderId="44" xfId="6" applyNumberFormat="1" applyFont="1" applyBorder="1"/>
    <xf numFmtId="0" fontId="0" fillId="0" borderId="12" xfId="6" applyNumberFormat="1" applyFont="1" applyBorder="1" applyAlignment="1">
      <alignment horizontal="right"/>
    </xf>
    <xf numFmtId="0" fontId="0" fillId="0" borderId="12" xfId="0" applyNumberFormat="1" applyBorder="1"/>
    <xf numFmtId="0" fontId="0" fillId="0" borderId="118" xfId="0" applyBorder="1"/>
    <xf numFmtId="0" fontId="0" fillId="0" borderId="119" xfId="0" applyBorder="1" applyAlignment="1">
      <alignment horizontal="right"/>
    </xf>
    <xf numFmtId="0" fontId="0" fillId="0" borderId="11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119" xfId="0" applyBorder="1"/>
    <xf numFmtId="0" fontId="0" fillId="0" borderId="11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1" xfId="0" applyBorder="1"/>
    <xf numFmtId="0" fontId="0" fillId="0" borderId="122" xfId="0" applyBorder="1"/>
    <xf numFmtId="0" fontId="0" fillId="0" borderId="120" xfId="0" applyBorder="1"/>
    <xf numFmtId="9" fontId="0" fillId="0" borderId="94" xfId="5" applyNumberFormat="1" applyFont="1" applyBorder="1" applyAlignment="1">
      <alignment horizontal="center"/>
    </xf>
    <xf numFmtId="9" fontId="0" fillId="0" borderId="49" xfId="5" applyNumberFormat="1" applyFont="1" applyBorder="1" applyAlignment="1">
      <alignment horizontal="center"/>
    </xf>
    <xf numFmtId="9" fontId="0" fillId="0" borderId="44" xfId="5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119" xfId="0" applyFont="1" applyBorder="1" applyAlignment="1">
      <alignment horizontal="center"/>
    </xf>
    <xf numFmtId="0" fontId="4" fillId="0" borderId="119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23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  <xf numFmtId="169" fontId="0" fillId="0" borderId="118" xfId="0" applyNumberFormat="1" applyBorder="1"/>
    <xf numFmtId="0" fontId="0" fillId="0" borderId="119" xfId="0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79" xfId="0" applyNumberFormat="1" applyBorder="1" applyAlignment="1">
      <alignment horizontal="center"/>
    </xf>
    <xf numFmtId="3" fontId="0" fillId="0" borderId="118" xfId="0" applyNumberFormat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166" fontId="0" fillId="0" borderId="79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79" xfId="0" applyBorder="1" applyAlignment="1">
      <alignment horizontal="center"/>
    </xf>
    <xf numFmtId="0" fontId="0" fillId="0" borderId="124" xfId="0" applyBorder="1"/>
    <xf numFmtId="0" fontId="0" fillId="0" borderId="125" xfId="0" applyBorder="1"/>
    <xf numFmtId="0" fontId="0" fillId="0" borderId="126" xfId="0" applyBorder="1"/>
    <xf numFmtId="0" fontId="0" fillId="0" borderId="127" xfId="0" applyBorder="1"/>
    <xf numFmtId="0" fontId="18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167" fontId="0" fillId="0" borderId="119" xfId="0" applyNumberFormat="1" applyBorder="1" applyAlignment="1">
      <alignment horizontal="center"/>
    </xf>
    <xf numFmtId="2" fontId="0" fillId="0" borderId="119" xfId="0" applyNumberFormat="1" applyBorder="1" applyAlignment="1">
      <alignment horizontal="center"/>
    </xf>
    <xf numFmtId="2" fontId="0" fillId="0" borderId="79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6" fontId="2" fillId="0" borderId="0" xfId="0" applyNumberFormat="1" applyFont="1" applyAlignment="1">
      <alignment horizontal="left"/>
    </xf>
    <xf numFmtId="166" fontId="0" fillId="0" borderId="119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79" xfId="0" applyNumberFormat="1" applyBorder="1" applyAlignment="1">
      <alignment horizontal="center"/>
    </xf>
    <xf numFmtId="0" fontId="16" fillId="0" borderId="0" xfId="0" applyFont="1" applyAlignment="1">
      <alignment horizontal="justify" vertical="center"/>
    </xf>
    <xf numFmtId="10" fontId="0" fillId="0" borderId="0" xfId="5" applyNumberFormat="1" applyFont="1"/>
    <xf numFmtId="0" fontId="0" fillId="0" borderId="0" xfId="0" quotePrefix="1" applyFont="1" applyFill="1" applyBorder="1" applyAlignment="1">
      <alignment horizontal="left"/>
    </xf>
    <xf numFmtId="0" fontId="0" fillId="0" borderId="128" xfId="0" applyBorder="1"/>
    <xf numFmtId="0" fontId="4" fillId="0" borderId="0" xfId="0" applyFont="1" applyAlignment="1">
      <alignment horizontal="left"/>
    </xf>
    <xf numFmtId="0" fontId="0" fillId="3" borderId="93" xfId="0" applyFill="1" applyBorder="1"/>
    <xf numFmtId="0" fontId="0" fillId="3" borderId="94" xfId="0" applyFill="1" applyBorder="1"/>
    <xf numFmtId="0" fontId="0" fillId="3" borderId="56" xfId="0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118" xfId="0" applyNumberFormat="1" applyBorder="1"/>
    <xf numFmtId="166" fontId="0" fillId="0" borderId="0" xfId="0" applyNumberFormat="1" applyBorder="1" applyAlignment="1">
      <alignment horizontal="center"/>
    </xf>
    <xf numFmtId="166" fontId="0" fillId="0" borderId="52" xfId="0" applyNumberFormat="1" applyBorder="1"/>
    <xf numFmtId="1" fontId="0" fillId="0" borderId="124" xfId="0" applyNumberFormat="1" applyBorder="1"/>
    <xf numFmtId="1" fontId="0" fillId="0" borderId="123" xfId="0" applyNumberFormat="1" applyBorder="1"/>
    <xf numFmtId="1" fontId="0" fillId="0" borderId="70" xfId="0" applyNumberFormat="1" applyBorder="1"/>
    <xf numFmtId="1" fontId="0" fillId="0" borderId="75" xfId="0" applyNumberFormat="1" applyBorder="1"/>
    <xf numFmtId="0" fontId="0" fillId="0" borderId="12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6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87" xfId="0" applyFont="1" applyBorder="1"/>
    <xf numFmtId="0" fontId="0" fillId="0" borderId="129" xfId="0" applyFill="1" applyBorder="1" applyAlignment="1">
      <alignment horizontal="center"/>
    </xf>
    <xf numFmtId="9" fontId="0" fillId="0" borderId="0" xfId="5" applyFont="1" applyAlignment="1">
      <alignment horizontal="center"/>
    </xf>
    <xf numFmtId="9" fontId="0" fillId="0" borderId="79" xfId="5" applyFont="1" applyBorder="1" applyAlignment="1">
      <alignment horizontal="center"/>
    </xf>
    <xf numFmtId="0" fontId="0" fillId="0" borderId="129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75" xfId="0" applyBorder="1" applyAlignment="1">
      <alignment horizontal="right"/>
    </xf>
    <xf numFmtId="0" fontId="0" fillId="0" borderId="129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34" xfId="0" applyNumberFormat="1" applyBorder="1"/>
    <xf numFmtId="0" fontId="0" fillId="0" borderId="130" xfId="0" applyNumberFormat="1" applyBorder="1"/>
    <xf numFmtId="0" fontId="0" fillId="0" borderId="71" xfId="0" applyNumberFormat="1" applyBorder="1"/>
    <xf numFmtId="0" fontId="0" fillId="0" borderId="131" xfId="0" applyNumberFormat="1" applyBorder="1"/>
    <xf numFmtId="0" fontId="8" fillId="0" borderId="71" xfId="0" applyFont="1" applyBorder="1" applyAlignment="1">
      <alignment horizontal="center"/>
    </xf>
    <xf numFmtId="1" fontId="8" fillId="0" borderId="71" xfId="0" applyNumberFormat="1" applyFont="1" applyBorder="1" applyAlignment="1">
      <alignment horizontal="center"/>
    </xf>
    <xf numFmtId="0" fontId="8" fillId="0" borderId="119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65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</cellXfs>
  <cellStyles count="7">
    <cellStyle name="Comma" xfId="6" builtinId="3"/>
    <cellStyle name="Currency" xfId="1" builtinId="4"/>
    <cellStyle name="Hyperlink" xfId="2" builtinId="8"/>
    <cellStyle name="Normal" xfId="0" builtinId="0"/>
    <cellStyle name="Normal 2" xfId="3"/>
    <cellStyle name="Normal 3" xfId="4"/>
    <cellStyle name="Percent" xfId="5" builtinId="5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54" Type="http://schemas.openxmlformats.org/officeDocument/2006/relationships/worksheet" Target="worksheets/sheet154.xml"/><Relationship Id="rId159" Type="http://schemas.openxmlformats.org/officeDocument/2006/relationships/worksheet" Target="worksheets/sheet159.xml"/><Relationship Id="rId170" Type="http://schemas.openxmlformats.org/officeDocument/2006/relationships/theme" Target="theme/theme1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65" Type="http://schemas.openxmlformats.org/officeDocument/2006/relationships/worksheet" Target="worksheets/sheet16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71" Type="http://schemas.openxmlformats.org/officeDocument/2006/relationships/styles" Target="styles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worksheet" Target="worksheets/sheet161.xml"/><Relationship Id="rId166" Type="http://schemas.openxmlformats.org/officeDocument/2006/relationships/worksheet" Target="worksheets/sheet16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72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Marketing Campaign Results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'Bar Chart'!$B$4</c:f>
              <c:strCache>
                <c:ptCount val="1"/>
                <c:pt idx="0">
                  <c:v>Brand A</c:v>
                </c:pt>
              </c:strCache>
            </c:strRef>
          </c:tx>
          <c:invertIfNegative val="0"/>
          <c:cat>
            <c:strRef>
              <c:f>'Bar Chart'!$A$5:$A$10</c:f>
              <c:strCache>
                <c:ptCount val="6"/>
                <c:pt idx="0">
                  <c:v>London</c:v>
                </c:pt>
                <c:pt idx="1">
                  <c:v>Paris</c:v>
                </c:pt>
                <c:pt idx="2">
                  <c:v>Rome</c:v>
                </c:pt>
                <c:pt idx="3">
                  <c:v>Madrid</c:v>
                </c:pt>
                <c:pt idx="4">
                  <c:v>Vienna</c:v>
                </c:pt>
                <c:pt idx="5">
                  <c:v>Berlin</c:v>
                </c:pt>
              </c:strCache>
            </c:strRef>
          </c:cat>
          <c:val>
            <c:numRef>
              <c:f>'Bar Chart'!$B$5:$B$10</c:f>
              <c:numCache>
                <c:formatCode>General</c:formatCode>
                <c:ptCount val="6"/>
                <c:pt idx="0">
                  <c:v>23.5</c:v>
                </c:pt>
                <c:pt idx="1">
                  <c:v>13.8</c:v>
                </c:pt>
                <c:pt idx="2">
                  <c:v>17.3</c:v>
                </c:pt>
                <c:pt idx="3">
                  <c:v>14.8</c:v>
                </c:pt>
                <c:pt idx="4">
                  <c:v>7.2</c:v>
                </c:pt>
                <c:pt idx="5">
                  <c:v>29.5</c:v>
                </c:pt>
              </c:numCache>
            </c:numRef>
          </c:val>
        </c:ser>
        <c:ser>
          <c:idx val="1"/>
          <c:order val="1"/>
          <c:tx>
            <c:strRef>
              <c:f>'Bar Chart'!$C$4</c:f>
              <c:strCache>
                <c:ptCount val="1"/>
                <c:pt idx="0">
                  <c:v>Brand B</c:v>
                </c:pt>
              </c:strCache>
            </c:strRef>
          </c:tx>
          <c:invertIfNegative val="0"/>
          <c:cat>
            <c:strRef>
              <c:f>'Bar Chart'!$A$5:$A$10</c:f>
              <c:strCache>
                <c:ptCount val="6"/>
                <c:pt idx="0">
                  <c:v>London</c:v>
                </c:pt>
                <c:pt idx="1">
                  <c:v>Paris</c:v>
                </c:pt>
                <c:pt idx="2">
                  <c:v>Rome</c:v>
                </c:pt>
                <c:pt idx="3">
                  <c:v>Madrid</c:v>
                </c:pt>
                <c:pt idx="4">
                  <c:v>Vienna</c:v>
                </c:pt>
                <c:pt idx="5">
                  <c:v>Berlin</c:v>
                </c:pt>
              </c:strCache>
            </c:strRef>
          </c:cat>
          <c:val>
            <c:numRef>
              <c:f>'Bar Chart'!$C$5:$C$10</c:f>
              <c:numCache>
                <c:formatCode>General</c:formatCode>
                <c:ptCount val="6"/>
                <c:pt idx="0">
                  <c:v>12.3</c:v>
                </c:pt>
                <c:pt idx="1">
                  <c:v>8.1</c:v>
                </c:pt>
                <c:pt idx="2">
                  <c:v>4.5</c:v>
                </c:pt>
                <c:pt idx="3">
                  <c:v>6.8</c:v>
                </c:pt>
                <c:pt idx="4">
                  <c:v>4.2</c:v>
                </c:pt>
                <c:pt idx="5">
                  <c:v>21.4</c:v>
                </c:pt>
              </c:numCache>
            </c:numRef>
          </c:val>
        </c:ser>
        <c:ser>
          <c:idx val="2"/>
          <c:order val="2"/>
          <c:tx>
            <c:strRef>
              <c:f>'Bar Chart'!$D$4</c:f>
              <c:strCache>
                <c:ptCount val="1"/>
                <c:pt idx="0">
                  <c:v>Brand C</c:v>
                </c:pt>
              </c:strCache>
            </c:strRef>
          </c:tx>
          <c:invertIfNegative val="0"/>
          <c:cat>
            <c:strRef>
              <c:f>'Bar Chart'!$A$5:$A$10</c:f>
              <c:strCache>
                <c:ptCount val="6"/>
                <c:pt idx="0">
                  <c:v>London</c:v>
                </c:pt>
                <c:pt idx="1">
                  <c:v>Paris</c:v>
                </c:pt>
                <c:pt idx="2">
                  <c:v>Rome</c:v>
                </c:pt>
                <c:pt idx="3">
                  <c:v>Madrid</c:v>
                </c:pt>
                <c:pt idx="4">
                  <c:v>Vienna</c:v>
                </c:pt>
                <c:pt idx="5">
                  <c:v>Berlin</c:v>
                </c:pt>
              </c:strCache>
            </c:strRef>
          </c:cat>
          <c:val>
            <c:numRef>
              <c:f>'Bar Chart'!$D$5:$D$10</c:f>
              <c:numCache>
                <c:formatCode>General</c:formatCode>
                <c:ptCount val="6"/>
                <c:pt idx="0">
                  <c:v>15</c:v>
                </c:pt>
                <c:pt idx="1">
                  <c:v>5.5</c:v>
                </c:pt>
                <c:pt idx="2">
                  <c:v>6.9</c:v>
                </c:pt>
                <c:pt idx="3">
                  <c:v>2.7</c:v>
                </c:pt>
                <c:pt idx="4">
                  <c:v>1.6</c:v>
                </c:pt>
                <c:pt idx="5">
                  <c:v>11.6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12160"/>
        <c:axId val="684309024"/>
      </c:barChart>
      <c:catAx>
        <c:axId val="684312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City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684309024"/>
        <c:crosses val="autoZero"/>
        <c:auto val="1"/>
        <c:lblAlgn val="ctr"/>
        <c:lblOffset val="100"/>
        <c:noMultiLvlLbl val="0"/>
      </c:catAx>
      <c:valAx>
        <c:axId val="684309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Sales (millions of euros)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3121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Distribution Function F(x)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'Prob 1'!$C$3</c:f>
              <c:strCache>
                <c:ptCount val="1"/>
                <c:pt idx="0">
                  <c:v>F(x)</c:v>
                </c:pt>
              </c:strCache>
            </c:strRef>
          </c:tx>
          <c:invertIfNegative val="0"/>
          <c:val>
            <c:numRef>
              <c:f>'Prob 1'!$C$4:$C$11</c:f>
              <c:numCache>
                <c:formatCode>0.00</c:formatCode>
                <c:ptCount val="8"/>
                <c:pt idx="0">
                  <c:v>0.12</c:v>
                </c:pt>
                <c:pt idx="1">
                  <c:v>0.37</c:v>
                </c:pt>
                <c:pt idx="2">
                  <c:v>0.45</c:v>
                </c:pt>
                <c:pt idx="3">
                  <c:v>0.59000000000000008</c:v>
                </c:pt>
                <c:pt idx="4">
                  <c:v>0.68</c:v>
                </c:pt>
                <c:pt idx="5">
                  <c:v>0.8600000000000001</c:v>
                </c:pt>
                <c:pt idx="6">
                  <c:v>0.95000000000000007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18824"/>
        <c:axId val="684255712"/>
      </c:barChart>
      <c:catAx>
        <c:axId val="684318824"/>
        <c:scaling>
          <c:orientation val="minMax"/>
        </c:scaling>
        <c:delete val="0"/>
        <c:axPos val="b"/>
        <c:majorTickMark val="out"/>
        <c:minorTickMark val="none"/>
        <c:tickLblPos val="nextTo"/>
        <c:crossAx val="684255712"/>
        <c:crosses val="autoZero"/>
        <c:auto val="1"/>
        <c:lblAlgn val="ctr"/>
        <c:lblOffset val="100"/>
        <c:noMultiLvlLbl val="0"/>
      </c:catAx>
      <c:valAx>
        <c:axId val="684255712"/>
        <c:scaling>
          <c:orientation val="minMax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crossAx val="684318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'Prob 2'!$Q$6:$Q$10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'Prob 2'!$R$6:$R$10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61592"/>
        <c:axId val="684266688"/>
      </c:barChart>
      <c:catAx>
        <c:axId val="684261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6688"/>
        <c:crosses val="autoZero"/>
        <c:auto val="1"/>
        <c:lblAlgn val="ctr"/>
        <c:lblOffset val="100"/>
        <c:noMultiLvlLbl val="0"/>
      </c:catAx>
      <c:valAx>
        <c:axId val="6842666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1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Histogram!$A$19:$A$23</c:f>
              <c:strCache>
                <c:ptCount val="5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80</c:v>
                </c:pt>
                <c:pt idx="4">
                  <c:v>More</c:v>
                </c:pt>
              </c:strCache>
            </c:strRef>
          </c:cat>
          <c:val>
            <c:numRef>
              <c:f>Histogram!$B$19:$B$23</c:f>
              <c:numCache>
                <c:formatCode>General</c:formatCode>
                <c:ptCount val="5"/>
                <c:pt idx="0">
                  <c:v>6</c:v>
                </c:pt>
                <c:pt idx="1">
                  <c:v>10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56104"/>
        <c:axId val="684261984"/>
      </c:barChart>
      <c:catAx>
        <c:axId val="684256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684261984"/>
        <c:crosses val="autoZero"/>
        <c:auto val="1"/>
        <c:lblAlgn val="ctr"/>
        <c:lblOffset val="100"/>
        <c:noMultiLvlLbl val="0"/>
      </c:catAx>
      <c:valAx>
        <c:axId val="6842619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561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Histogram!$Q$9:$Q$14</c:f>
              <c:numCache>
                <c:formatCode>General</c:formatCode>
                <c:ptCount val="6"/>
                <c:pt idx="0">
                  <c:v>15</c:v>
                </c:pt>
                <c:pt idx="1">
                  <c:v>30</c:v>
                </c:pt>
                <c:pt idx="2">
                  <c:v>45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</c:numCache>
            </c:numRef>
          </c:cat>
          <c:val>
            <c:numRef>
              <c:f>Histogram!$R$9:$R$14</c:f>
              <c:numCache>
                <c:formatCode>General</c:formatCode>
                <c:ptCount val="6"/>
                <c:pt idx="0">
                  <c:v>5</c:v>
                </c:pt>
                <c:pt idx="1">
                  <c:v>8</c:v>
                </c:pt>
                <c:pt idx="2">
                  <c:v>5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55320"/>
        <c:axId val="684262376"/>
      </c:barChart>
      <c:catAx>
        <c:axId val="684255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2376"/>
        <c:crosses val="autoZero"/>
        <c:auto val="1"/>
        <c:lblAlgn val="ctr"/>
        <c:lblOffset val="100"/>
        <c:noMultiLvlLbl val="0"/>
      </c:catAx>
      <c:valAx>
        <c:axId val="6842623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55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Histogram!$Q$27:$Q$33</c:f>
              <c:numCache>
                <c:formatCode>General</c:formatCode>
                <c:ptCount val="7"/>
                <c:pt idx="0">
                  <c:v>10</c:v>
                </c:pt>
                <c:pt idx="1">
                  <c:v>25</c:v>
                </c:pt>
                <c:pt idx="2">
                  <c:v>40</c:v>
                </c:pt>
                <c:pt idx="3">
                  <c:v>55</c:v>
                </c:pt>
                <c:pt idx="4">
                  <c:v>70</c:v>
                </c:pt>
                <c:pt idx="5">
                  <c:v>85</c:v>
                </c:pt>
                <c:pt idx="6">
                  <c:v>100</c:v>
                </c:pt>
              </c:numCache>
            </c:numRef>
          </c:cat>
          <c:val>
            <c:numRef>
              <c:f>Histogram!$R$27:$R$33</c:f>
              <c:numCache>
                <c:formatCode>General</c:formatCode>
                <c:ptCount val="7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57280"/>
        <c:axId val="684265120"/>
      </c:barChart>
      <c:catAx>
        <c:axId val="684257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5120"/>
        <c:crosses val="autoZero"/>
        <c:auto val="1"/>
        <c:lblAlgn val="ctr"/>
        <c:lblOffset val="100"/>
        <c:noMultiLvlLbl val="0"/>
      </c:catAx>
      <c:valAx>
        <c:axId val="684265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57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1'!$K$4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1'!$L$3:$N$3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1'!$L$4:$N$4</c:f>
              <c:numCache>
                <c:formatCode>General</c:formatCode>
                <c:ptCount val="3"/>
                <c:pt idx="0">
                  <c:v>380</c:v>
                </c:pt>
                <c:pt idx="1">
                  <c:v>300</c:v>
                </c:pt>
                <c:pt idx="2">
                  <c:v>430</c:v>
                </c:pt>
              </c:numCache>
            </c:numRef>
          </c:val>
        </c:ser>
        <c:ser>
          <c:idx val="1"/>
          <c:order val="1"/>
          <c:tx>
            <c:strRef>
              <c:f>'Box Plot 1'!$K$5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1'!$L$3:$N$3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1'!$L$5:$N$5</c:f>
              <c:numCache>
                <c:formatCode>General</c:formatCode>
                <c:ptCount val="3"/>
                <c:pt idx="0">
                  <c:v>142.5</c:v>
                </c:pt>
                <c:pt idx="1">
                  <c:v>185</c:v>
                </c:pt>
                <c:pt idx="2">
                  <c:v>342.5</c:v>
                </c:pt>
              </c:numCache>
            </c:numRef>
          </c:val>
        </c:ser>
        <c:ser>
          <c:idx val="2"/>
          <c:order val="2"/>
          <c:tx>
            <c:strRef>
              <c:f>'Box Plot 1'!$K$6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1'!$L$3:$N$3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1'!$L$6:$N$6</c:f>
              <c:numCache>
                <c:formatCode>General</c:formatCode>
                <c:ptCount val="3"/>
                <c:pt idx="0">
                  <c:v>202.5</c:v>
                </c:pt>
                <c:pt idx="1">
                  <c:v>220</c:v>
                </c:pt>
                <c:pt idx="2">
                  <c:v>132.5</c:v>
                </c:pt>
              </c:numCache>
            </c:numRef>
          </c:val>
        </c:ser>
        <c:ser>
          <c:idx val="3"/>
          <c:order val="3"/>
          <c:tx>
            <c:strRef>
              <c:f>'Box Plot 1'!$K$7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1'!$L$8:$N$8</c:f>
                <c:numCache>
                  <c:formatCode>General</c:formatCode>
                  <c:ptCount val="3"/>
                  <c:pt idx="0">
                    <c:v>597.5</c:v>
                  </c:pt>
                  <c:pt idx="1">
                    <c:v>1025</c:v>
                  </c:pt>
                  <c:pt idx="2">
                    <c:v>512.5</c:v>
                  </c:pt>
                </c:numCache>
              </c:numRef>
            </c:plus>
          </c:errBars>
          <c:cat>
            <c:strRef>
              <c:f>'Box Plot 1'!$L$3:$N$3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1'!$L$7:$N$7</c:f>
              <c:numCache>
                <c:formatCode>General</c:formatCode>
                <c:ptCount val="3"/>
                <c:pt idx="0">
                  <c:v>237.5</c:v>
                </c:pt>
                <c:pt idx="1">
                  <c:v>120</c:v>
                </c:pt>
                <c:pt idx="2">
                  <c:v>332.5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63160"/>
        <c:axId val="684263552"/>
      </c:barChart>
      <c:catAx>
        <c:axId val="684263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84263552"/>
        <c:crosses val="autoZero"/>
        <c:auto val="1"/>
        <c:lblAlgn val="ctr"/>
        <c:lblOffset val="100"/>
        <c:noMultiLvlLbl val="0"/>
      </c:catAx>
      <c:valAx>
        <c:axId val="684263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63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1'!$E$24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1'!$F$23:$H$23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1'!$F$24:$H$24</c:f>
              <c:numCache>
                <c:formatCode>General</c:formatCode>
                <c:ptCount val="3"/>
                <c:pt idx="0">
                  <c:v>380</c:v>
                </c:pt>
                <c:pt idx="1">
                  <c:v>300</c:v>
                </c:pt>
                <c:pt idx="2">
                  <c:v>430</c:v>
                </c:pt>
              </c:numCache>
            </c:numRef>
          </c:val>
        </c:ser>
        <c:ser>
          <c:idx val="1"/>
          <c:order val="1"/>
          <c:tx>
            <c:strRef>
              <c:f>'Box Plot 1'!$E$25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1'!$F$23:$H$23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1'!$F$25:$H$25</c:f>
              <c:numCache>
                <c:formatCode>General</c:formatCode>
                <c:ptCount val="3"/>
                <c:pt idx="0">
                  <c:v>125</c:v>
                </c:pt>
                <c:pt idx="1">
                  <c:v>112.5</c:v>
                </c:pt>
                <c:pt idx="2">
                  <c:v>305</c:v>
                </c:pt>
              </c:numCache>
            </c:numRef>
          </c:val>
        </c:ser>
        <c:ser>
          <c:idx val="2"/>
          <c:order val="2"/>
          <c:tx>
            <c:strRef>
              <c:f>'Box Plot 1'!$E$26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1'!$F$23:$H$23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1'!$F$26:$H$26</c:f>
              <c:numCache>
                <c:formatCode>General</c:formatCode>
                <c:ptCount val="3"/>
                <c:pt idx="0">
                  <c:v>220</c:v>
                </c:pt>
                <c:pt idx="1">
                  <c:v>292.5</c:v>
                </c:pt>
                <c:pt idx="2">
                  <c:v>170</c:v>
                </c:pt>
              </c:numCache>
            </c:numRef>
          </c:val>
        </c:ser>
        <c:ser>
          <c:idx val="3"/>
          <c:order val="3"/>
          <c:tx>
            <c:strRef>
              <c:f>'Box Plot 1'!$E$27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1'!$F$28:$H$28</c:f>
                <c:numCache>
                  <c:formatCode>General</c:formatCode>
                  <c:ptCount val="3"/>
                  <c:pt idx="0">
                    <c:v>562.5</c:v>
                  </c:pt>
                  <c:pt idx="1">
                    <c:v>985</c:v>
                  </c:pt>
                  <c:pt idx="2">
                    <c:v>417.5</c:v>
                  </c:pt>
                </c:numCache>
              </c:numRef>
            </c:plus>
          </c:errBars>
          <c:cat>
            <c:strRef>
              <c:f>'Box Plot 1'!$F$23:$H$23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1'!$F$27:$H$27</c:f>
              <c:numCache>
                <c:formatCode>General</c:formatCode>
                <c:ptCount val="3"/>
                <c:pt idx="0">
                  <c:v>272.5</c:v>
                </c:pt>
                <c:pt idx="1">
                  <c:v>160</c:v>
                </c:pt>
                <c:pt idx="2">
                  <c:v>427.5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56888"/>
        <c:axId val="68425767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1'!$F$29:$H$29</c:f>
              <c:numCache>
                <c:formatCode>General</c:formatCode>
                <c:ptCount val="3"/>
                <c:pt idx="0">
                  <c:v>784</c:v>
                </c:pt>
                <c:pt idx="1">
                  <c:v>756</c:v>
                </c:pt>
                <c:pt idx="2">
                  <c:v>1010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56888"/>
        <c:axId val="684257672"/>
      </c:scatterChart>
      <c:catAx>
        <c:axId val="684256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57672"/>
        <c:crosses val="autoZero"/>
        <c:auto val="1"/>
        <c:lblAlgn val="ctr"/>
        <c:lblOffset val="100"/>
        <c:noMultiLvlLbl val="0"/>
      </c:catAx>
      <c:valAx>
        <c:axId val="684257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56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2'!$E$4</c:f>
              <c:strCache>
                <c:ptCount val="1"/>
                <c:pt idx="0">
                  <c:v>Q1</c:v>
                </c:pt>
              </c:strCache>
            </c:strRef>
          </c:tx>
          <c:spPr>
            <a:noFill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'Box Plot 2'!$F$7:$H$7</c:f>
                <c:numCache>
                  <c:formatCode>General</c:formatCode>
                  <c:ptCount val="3"/>
                  <c:pt idx="0">
                    <c:v>142.5</c:v>
                  </c:pt>
                  <c:pt idx="1">
                    <c:v>785</c:v>
                  </c:pt>
                  <c:pt idx="2">
                    <c:v>342.5</c:v>
                  </c:pt>
                </c:numCache>
              </c:numRef>
            </c:minus>
          </c:errBars>
          <c:cat>
            <c:strRef>
              <c:f>'Box Plot 2'!$F$3:$H$3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2'!$F$4:$H$4</c:f>
              <c:numCache>
                <c:formatCode>General</c:formatCode>
                <c:ptCount val="3"/>
                <c:pt idx="0">
                  <c:v>522.5</c:v>
                </c:pt>
                <c:pt idx="1">
                  <c:v>485</c:v>
                </c:pt>
                <c:pt idx="2">
                  <c:v>772.5</c:v>
                </c:pt>
              </c:numCache>
            </c:numRef>
          </c:val>
        </c:ser>
        <c:ser>
          <c:idx val="1"/>
          <c:order val="1"/>
          <c:tx>
            <c:strRef>
              <c:f>'Box Plot 2'!$E$5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2'!$F$3:$H$3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2'!$F$5:$H$5</c:f>
              <c:numCache>
                <c:formatCode>General</c:formatCode>
                <c:ptCount val="3"/>
                <c:pt idx="0">
                  <c:v>202.5</c:v>
                </c:pt>
                <c:pt idx="1">
                  <c:v>220</c:v>
                </c:pt>
                <c:pt idx="2">
                  <c:v>132.5</c:v>
                </c:pt>
              </c:numCache>
            </c:numRef>
          </c:val>
        </c:ser>
        <c:ser>
          <c:idx val="2"/>
          <c:order val="2"/>
          <c:tx>
            <c:strRef>
              <c:f>'Box Plot 2'!$E$6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2'!$F$8:$H$8</c:f>
                <c:numCache>
                  <c:formatCode>General</c:formatCode>
                  <c:ptCount val="3"/>
                  <c:pt idx="0">
                    <c:v>597.5</c:v>
                  </c:pt>
                  <c:pt idx="1">
                    <c:v>1025</c:v>
                  </c:pt>
                  <c:pt idx="2">
                    <c:v>512.5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'Box Plot 2'!$F$3:$H$3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2'!$F$6:$H$6</c:f>
              <c:numCache>
                <c:formatCode>General</c:formatCode>
                <c:ptCount val="3"/>
                <c:pt idx="0">
                  <c:v>237.5</c:v>
                </c:pt>
                <c:pt idx="1">
                  <c:v>120</c:v>
                </c:pt>
                <c:pt idx="2">
                  <c:v>332.5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64336"/>
        <c:axId val="684264728"/>
      </c:barChart>
      <c:catAx>
        <c:axId val="684264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84264728"/>
        <c:crosses val="autoZero"/>
        <c:auto val="1"/>
        <c:lblAlgn val="ctr"/>
        <c:lblOffset val="100"/>
        <c:noMultiLvlLbl val="0"/>
      </c:catAx>
      <c:valAx>
        <c:axId val="684264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64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2'!$E$4</c:f>
              <c:strCache>
                <c:ptCount val="1"/>
                <c:pt idx="0">
                  <c:v>Q1</c:v>
                </c:pt>
              </c:strCache>
            </c:strRef>
          </c:tx>
          <c:spPr>
            <a:noFill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'Box Plot 2'!$F$7:$H$7</c:f>
                <c:numCache>
                  <c:formatCode>General</c:formatCode>
                  <c:ptCount val="3"/>
                  <c:pt idx="0">
                    <c:v>142.5</c:v>
                  </c:pt>
                  <c:pt idx="1">
                    <c:v>785</c:v>
                  </c:pt>
                  <c:pt idx="2">
                    <c:v>342.5</c:v>
                  </c:pt>
                </c:numCache>
              </c:numRef>
            </c:minus>
          </c:errBars>
          <c:cat>
            <c:strRef>
              <c:f>'Box Plot 2'!$F$22:$H$22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2'!$F$4:$H$4</c:f>
              <c:numCache>
                <c:formatCode>General</c:formatCode>
                <c:ptCount val="3"/>
                <c:pt idx="0">
                  <c:v>522.5</c:v>
                </c:pt>
                <c:pt idx="1">
                  <c:v>485</c:v>
                </c:pt>
                <c:pt idx="2">
                  <c:v>772.5</c:v>
                </c:pt>
              </c:numCache>
            </c:numRef>
          </c:val>
        </c:ser>
        <c:ser>
          <c:idx val="1"/>
          <c:order val="1"/>
          <c:tx>
            <c:strRef>
              <c:f>'Box Plot 2'!$E$24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2'!$F$22:$H$22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2'!$F$24:$H$24</c:f>
              <c:numCache>
                <c:formatCode>General</c:formatCode>
                <c:ptCount val="3"/>
                <c:pt idx="0">
                  <c:v>220</c:v>
                </c:pt>
                <c:pt idx="1">
                  <c:v>292.5</c:v>
                </c:pt>
                <c:pt idx="2">
                  <c:v>170</c:v>
                </c:pt>
              </c:numCache>
            </c:numRef>
          </c:val>
        </c:ser>
        <c:ser>
          <c:idx val="2"/>
          <c:order val="2"/>
          <c:tx>
            <c:strRef>
              <c:f>'Box Plot 2'!$E$25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2'!$F$8:$H$8</c:f>
                <c:numCache>
                  <c:formatCode>General</c:formatCode>
                  <c:ptCount val="3"/>
                  <c:pt idx="0">
                    <c:v>597.5</c:v>
                  </c:pt>
                  <c:pt idx="1">
                    <c:v>1025</c:v>
                  </c:pt>
                  <c:pt idx="2">
                    <c:v>512.5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'Box Plot 2'!$F$22:$H$22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2'!$F$25:$H$25</c:f>
              <c:numCache>
                <c:formatCode>General</c:formatCode>
                <c:ptCount val="3"/>
                <c:pt idx="0">
                  <c:v>272.5</c:v>
                </c:pt>
                <c:pt idx="1">
                  <c:v>160</c:v>
                </c:pt>
                <c:pt idx="2">
                  <c:v>427.5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65512"/>
        <c:axId val="684267472"/>
      </c:barChart>
      <c:catAx>
        <c:axId val="684265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84267472"/>
        <c:crosses val="autoZero"/>
        <c:auto val="1"/>
        <c:lblAlgn val="ctr"/>
        <c:lblOffset val="100"/>
        <c:noMultiLvlLbl val="0"/>
      </c:catAx>
      <c:valAx>
        <c:axId val="684267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65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3'!$E$6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3'!$F$5:$H$5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3'!$F$6:$H$6</c:f>
              <c:numCache>
                <c:formatCode>General</c:formatCode>
                <c:ptCount val="3"/>
                <c:pt idx="0">
                  <c:v>680</c:v>
                </c:pt>
                <c:pt idx="1">
                  <c:v>0</c:v>
                </c:pt>
                <c:pt idx="2">
                  <c:v>730</c:v>
                </c:pt>
              </c:numCache>
            </c:numRef>
          </c:val>
        </c:ser>
        <c:ser>
          <c:idx val="1"/>
          <c:order val="1"/>
          <c:tx>
            <c:strRef>
              <c:f>'Box Plot 3'!$E$7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3'!$F$5:$H$5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3'!$F$7:$H$7</c:f>
              <c:numCache>
                <c:formatCode>General</c:formatCode>
                <c:ptCount val="3"/>
                <c:pt idx="0">
                  <c:v>125</c:v>
                </c:pt>
                <c:pt idx="1">
                  <c:v>712.5</c:v>
                </c:pt>
                <c:pt idx="2">
                  <c:v>305</c:v>
                </c:pt>
              </c:numCache>
            </c:numRef>
          </c:val>
        </c:ser>
        <c:ser>
          <c:idx val="2"/>
          <c:order val="2"/>
          <c:tx>
            <c:strRef>
              <c:f>'Box Plot 3'!$E$8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3'!$F$5:$H$5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3'!$F$8:$H$8</c:f>
              <c:numCache>
                <c:formatCode>General</c:formatCode>
                <c:ptCount val="3"/>
                <c:pt idx="0">
                  <c:v>220</c:v>
                </c:pt>
                <c:pt idx="1">
                  <c:v>292.5</c:v>
                </c:pt>
                <c:pt idx="2">
                  <c:v>170</c:v>
                </c:pt>
              </c:numCache>
            </c:numRef>
          </c:val>
        </c:ser>
        <c:ser>
          <c:idx val="3"/>
          <c:order val="3"/>
          <c:tx>
            <c:strRef>
              <c:f>'Box Plot 3'!$E$9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3'!$F$10:$H$10</c:f>
                <c:numCache>
                  <c:formatCode>General</c:formatCode>
                  <c:ptCount val="3"/>
                  <c:pt idx="0">
                    <c:v>562.5</c:v>
                  </c:pt>
                  <c:pt idx="1">
                    <c:v>985</c:v>
                  </c:pt>
                  <c:pt idx="2">
                    <c:v>417.5</c:v>
                  </c:pt>
                </c:numCache>
              </c:numRef>
            </c:plus>
          </c:errBars>
          <c:cat>
            <c:strRef>
              <c:f>'Box Plot 3'!$F$5:$H$5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3'!$F$9:$H$9</c:f>
              <c:numCache>
                <c:formatCode>General</c:formatCode>
                <c:ptCount val="3"/>
                <c:pt idx="0">
                  <c:v>272.5</c:v>
                </c:pt>
                <c:pt idx="1">
                  <c:v>160</c:v>
                </c:pt>
                <c:pt idx="2">
                  <c:v>427.5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58456"/>
        <c:axId val="684258848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3'!$F$11:$H$11</c:f>
              <c:numCache>
                <c:formatCode>General</c:formatCode>
                <c:ptCount val="3"/>
                <c:pt idx="0">
                  <c:v>1084</c:v>
                </c:pt>
                <c:pt idx="1">
                  <c:v>996</c:v>
                </c:pt>
                <c:pt idx="2">
                  <c:v>1310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58456"/>
        <c:axId val="684258848"/>
      </c:scatterChart>
      <c:scatterChart>
        <c:scatterStyle val="lineMarker"/>
        <c:varyColors val="0"/>
        <c:ser>
          <c:idx val="5"/>
          <c:order val="5"/>
          <c:tx>
            <c:v>s</c:v>
          </c:tx>
          <c:spPr>
            <a:ln w="28575"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60416"/>
        <c:axId val="684260024"/>
      </c:scatterChart>
      <c:catAx>
        <c:axId val="684258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58848"/>
        <c:crosses val="autoZero"/>
        <c:auto val="1"/>
        <c:lblAlgn val="ctr"/>
        <c:lblOffset val="100"/>
        <c:noMultiLvlLbl val="0"/>
      </c:catAx>
      <c:valAx>
        <c:axId val="684258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58456"/>
        <c:crosses val="autoZero"/>
        <c:crossBetween val="between"/>
      </c:valAx>
      <c:valAx>
        <c:axId val="684260024"/>
        <c:scaling>
          <c:orientation val="minMax"/>
          <c:max val="2200"/>
          <c:min val="-300"/>
        </c:scaling>
        <c:delete val="0"/>
        <c:axPos val="r"/>
        <c:numFmt formatCode="General" sourceLinked="1"/>
        <c:majorTickMark val="out"/>
        <c:minorTickMark val="none"/>
        <c:tickLblPos val="nextTo"/>
        <c:crossAx val="684260416"/>
        <c:crosses val="max"/>
        <c:crossBetween val="midCat"/>
      </c:valAx>
      <c:valAx>
        <c:axId val="684260416"/>
        <c:scaling>
          <c:orientation val="minMax"/>
        </c:scaling>
        <c:delete val="1"/>
        <c:axPos val="b"/>
        <c:majorTickMark val="out"/>
        <c:minorTickMark val="none"/>
        <c:tickLblPos val="nextTo"/>
        <c:crossAx val="6842600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Average Income by Age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 Chart'!$B$3</c:f>
              <c:strCache>
                <c:ptCount val="1"/>
                <c:pt idx="0">
                  <c:v>Income</c:v>
                </c:pt>
              </c:strCache>
            </c:strRef>
          </c:tx>
          <c:marker>
            <c:symbol val="none"/>
          </c:marker>
          <c:cat>
            <c:numRef>
              <c:f>'Line Chart'!$A$4:$A$13</c:f>
              <c:numCache>
                <c:formatCode>General</c:formatCode>
                <c:ptCount val="10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</c:numCache>
            </c:numRef>
          </c:cat>
          <c:val>
            <c:numRef>
              <c:f>'Line Chart'!$B$4:$B$13</c:f>
              <c:numCache>
                <c:formatCode>General</c:formatCode>
                <c:ptCount val="10"/>
                <c:pt idx="0">
                  <c:v>23500</c:v>
                </c:pt>
                <c:pt idx="1">
                  <c:v>24000</c:v>
                </c:pt>
                <c:pt idx="2">
                  <c:v>25000</c:v>
                </c:pt>
                <c:pt idx="3">
                  <c:v>26700</c:v>
                </c:pt>
                <c:pt idx="4">
                  <c:v>27500</c:v>
                </c:pt>
                <c:pt idx="5">
                  <c:v>29200</c:v>
                </c:pt>
                <c:pt idx="6">
                  <c:v>33000</c:v>
                </c:pt>
                <c:pt idx="7">
                  <c:v>35100</c:v>
                </c:pt>
                <c:pt idx="8">
                  <c:v>37400</c:v>
                </c:pt>
                <c:pt idx="9">
                  <c:v>39500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316864"/>
        <c:axId val="684311768"/>
      </c:lineChart>
      <c:catAx>
        <c:axId val="684316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311768"/>
        <c:crosses val="autoZero"/>
        <c:auto val="1"/>
        <c:lblAlgn val="ctr"/>
        <c:lblOffset val="100"/>
        <c:noMultiLvlLbl val="0"/>
      </c:catAx>
      <c:valAx>
        <c:axId val="684311768"/>
        <c:scaling>
          <c:orientation val="minMax"/>
          <c:min val="20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Income ($000)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684316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3'!$E$22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3'!$F$21:$H$21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3'!$F$22:$H$22</c:f>
              <c:numCache>
                <c:formatCode>General</c:formatCode>
                <c:ptCount val="3"/>
                <c:pt idx="0">
                  <c:v>680</c:v>
                </c:pt>
                <c:pt idx="1">
                  <c:v>0</c:v>
                </c:pt>
                <c:pt idx="2">
                  <c:v>730</c:v>
                </c:pt>
              </c:numCache>
            </c:numRef>
          </c:val>
        </c:ser>
        <c:ser>
          <c:idx val="1"/>
          <c:order val="1"/>
          <c:tx>
            <c:strRef>
              <c:f>'Box Plot 3'!$E$23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3'!$F$21:$H$21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3'!$F$23:$H$23</c:f>
              <c:numCache>
                <c:formatCode>General</c:formatCode>
                <c:ptCount val="3"/>
                <c:pt idx="0">
                  <c:v>125</c:v>
                </c:pt>
                <c:pt idx="1">
                  <c:v>712.5</c:v>
                </c:pt>
                <c:pt idx="2">
                  <c:v>305</c:v>
                </c:pt>
              </c:numCache>
            </c:numRef>
          </c:val>
        </c:ser>
        <c:ser>
          <c:idx val="2"/>
          <c:order val="2"/>
          <c:tx>
            <c:strRef>
              <c:f>'Box Plot 3'!$E$24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3'!$F$21:$H$21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3'!$F$24:$H$24</c:f>
              <c:numCache>
                <c:formatCode>General</c:formatCode>
                <c:ptCount val="3"/>
                <c:pt idx="0">
                  <c:v>220</c:v>
                </c:pt>
                <c:pt idx="1">
                  <c:v>292.5</c:v>
                </c:pt>
                <c:pt idx="2">
                  <c:v>170</c:v>
                </c:pt>
              </c:numCache>
            </c:numRef>
          </c:val>
        </c:ser>
        <c:ser>
          <c:idx val="3"/>
          <c:order val="3"/>
          <c:tx>
            <c:strRef>
              <c:f>'Box Plot 3'!$E$25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3'!$F$26:$H$26</c:f>
                <c:numCache>
                  <c:formatCode>General</c:formatCode>
                  <c:ptCount val="3"/>
                  <c:pt idx="0">
                    <c:v>562.5</c:v>
                  </c:pt>
                  <c:pt idx="1">
                    <c:v>985</c:v>
                  </c:pt>
                  <c:pt idx="2">
                    <c:v>417.5</c:v>
                  </c:pt>
                </c:numCache>
              </c:numRef>
            </c:plus>
          </c:errBars>
          <c:cat>
            <c:strRef>
              <c:f>'Box Plot 3'!$F$21:$H$21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3'!$F$25:$H$25</c:f>
              <c:numCache>
                <c:formatCode>General</c:formatCode>
                <c:ptCount val="3"/>
                <c:pt idx="0">
                  <c:v>272.5</c:v>
                </c:pt>
                <c:pt idx="1">
                  <c:v>160</c:v>
                </c:pt>
                <c:pt idx="2">
                  <c:v>427.5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66296"/>
        <c:axId val="68427100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3'!$F$27:$H$27</c:f>
              <c:numCache>
                <c:formatCode>General</c:formatCode>
                <c:ptCount val="3"/>
                <c:pt idx="0">
                  <c:v>1084</c:v>
                </c:pt>
                <c:pt idx="1">
                  <c:v>996</c:v>
                </c:pt>
                <c:pt idx="2">
                  <c:v>1310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66296"/>
        <c:axId val="684271000"/>
      </c:scatterChart>
      <c:scatterChart>
        <c:scatterStyle val="lineMarker"/>
        <c:varyColors val="0"/>
        <c:ser>
          <c:idx val="5"/>
          <c:order val="5"/>
          <c:tx>
            <c:v>s</c:v>
          </c:tx>
          <c:spPr>
            <a:ln w="28575"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5312"/>
        <c:axId val="684273352"/>
      </c:scatterChart>
      <c:catAx>
        <c:axId val="684266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71000"/>
        <c:crosses val="autoZero"/>
        <c:auto val="1"/>
        <c:lblAlgn val="ctr"/>
        <c:lblOffset val="100"/>
        <c:noMultiLvlLbl val="0"/>
      </c:catAx>
      <c:valAx>
        <c:axId val="684271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one"/>
        <c:crossAx val="684266296"/>
        <c:crosses val="autoZero"/>
        <c:crossBetween val="between"/>
      </c:valAx>
      <c:valAx>
        <c:axId val="684273352"/>
        <c:scaling>
          <c:orientation val="minMax"/>
          <c:max val="2200"/>
          <c:min val="-300"/>
        </c:scaling>
        <c:delete val="0"/>
        <c:axPos val="r"/>
        <c:numFmt formatCode="General" sourceLinked="1"/>
        <c:majorTickMark val="out"/>
        <c:minorTickMark val="none"/>
        <c:tickLblPos val="nextTo"/>
        <c:crossAx val="684275312"/>
        <c:crosses val="max"/>
        <c:crossBetween val="midCat"/>
      </c:valAx>
      <c:valAx>
        <c:axId val="684275312"/>
        <c:scaling>
          <c:orientation val="minMax"/>
        </c:scaling>
        <c:delete val="1"/>
        <c:axPos val="b"/>
        <c:majorTickMark val="out"/>
        <c:minorTickMark val="none"/>
        <c:tickLblPos val="nextTo"/>
        <c:crossAx val="6842733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4'!$E$5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4'!$F$4:$H$4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4'!$F$5:$H$5</c:f>
              <c:numCache>
                <c:formatCode>General</c:formatCode>
                <c:ptCount val="3"/>
                <c:pt idx="0">
                  <c:v>380</c:v>
                </c:pt>
                <c:pt idx="1">
                  <c:v>300</c:v>
                </c:pt>
                <c:pt idx="2">
                  <c:v>430</c:v>
                </c:pt>
              </c:numCache>
            </c:numRef>
          </c:val>
        </c:ser>
        <c:ser>
          <c:idx val="1"/>
          <c:order val="1"/>
          <c:tx>
            <c:strRef>
              <c:f>'Box Plot 4'!$E$6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4'!$F$4:$H$4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4'!$F$6:$H$6</c:f>
              <c:numCache>
                <c:formatCode>General</c:formatCode>
                <c:ptCount val="3"/>
                <c:pt idx="0">
                  <c:v>142.5</c:v>
                </c:pt>
                <c:pt idx="1">
                  <c:v>185</c:v>
                </c:pt>
                <c:pt idx="2">
                  <c:v>342.5</c:v>
                </c:pt>
              </c:numCache>
            </c:numRef>
          </c:val>
        </c:ser>
        <c:ser>
          <c:idx val="2"/>
          <c:order val="2"/>
          <c:tx>
            <c:strRef>
              <c:f>'Box Plot 4'!$E$7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4'!$F$4:$H$4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4'!$F$7:$H$7</c:f>
              <c:numCache>
                <c:formatCode>General</c:formatCode>
                <c:ptCount val="3"/>
                <c:pt idx="0">
                  <c:v>202.5</c:v>
                </c:pt>
                <c:pt idx="1">
                  <c:v>220</c:v>
                </c:pt>
                <c:pt idx="2">
                  <c:v>132.5</c:v>
                </c:pt>
              </c:numCache>
            </c:numRef>
          </c:val>
        </c:ser>
        <c:ser>
          <c:idx val="3"/>
          <c:order val="3"/>
          <c:tx>
            <c:strRef>
              <c:f>'Box Plot 4'!$E$8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4'!$F$9:$H$9</c:f>
                <c:numCache>
                  <c:formatCode>General</c:formatCode>
                  <c:ptCount val="3"/>
                  <c:pt idx="0">
                    <c:v>597.5</c:v>
                  </c:pt>
                  <c:pt idx="1">
                    <c:v>115</c:v>
                  </c:pt>
                  <c:pt idx="2">
                    <c:v>512.5</c:v>
                  </c:pt>
                </c:numCache>
              </c:numRef>
            </c:plus>
          </c:errBars>
          <c:cat>
            <c:strRef>
              <c:f>'Box Plot 4'!$F$4:$H$4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4'!$F$8:$H$8</c:f>
              <c:numCache>
                <c:formatCode>General</c:formatCode>
                <c:ptCount val="3"/>
                <c:pt idx="0">
                  <c:v>237.5</c:v>
                </c:pt>
                <c:pt idx="1">
                  <c:v>120</c:v>
                </c:pt>
                <c:pt idx="2">
                  <c:v>332.5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68648"/>
        <c:axId val="68427492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4'!$F$10:$H$10</c:f>
              <c:numCache>
                <c:formatCode>General</c:formatCode>
                <c:ptCount val="3"/>
                <c:pt idx="0">
                  <c:v>784</c:v>
                </c:pt>
                <c:pt idx="1">
                  <c:v>756</c:v>
                </c:pt>
                <c:pt idx="2">
                  <c:v>1010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'Box Plot 4'!$G$21</c:f>
              <c:numCache>
                <c:formatCode>General</c:formatCode>
                <c:ptCount val="1"/>
                <c:pt idx="0">
                  <c:v>1850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68648"/>
        <c:axId val="684274920"/>
      </c:scatterChart>
      <c:catAx>
        <c:axId val="684268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74920"/>
        <c:crosses val="autoZero"/>
        <c:auto val="1"/>
        <c:lblAlgn val="ctr"/>
        <c:lblOffset val="100"/>
        <c:noMultiLvlLbl val="0"/>
      </c:catAx>
      <c:valAx>
        <c:axId val="684274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68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5'!$E$5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5'!$F$4:$H$4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5'!$F$5:$H$5</c:f>
              <c:numCache>
                <c:formatCode>General</c:formatCode>
                <c:ptCount val="3"/>
                <c:pt idx="0">
                  <c:v>380</c:v>
                </c:pt>
                <c:pt idx="1">
                  <c:v>360</c:v>
                </c:pt>
                <c:pt idx="2">
                  <c:v>430</c:v>
                </c:pt>
              </c:numCache>
            </c:numRef>
          </c:val>
        </c:ser>
        <c:ser>
          <c:idx val="1"/>
          <c:order val="1"/>
          <c:tx>
            <c:strRef>
              <c:f>'Box Plot 5'!$E$6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5'!$F$4:$H$4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5'!$F$6:$H$6</c:f>
              <c:numCache>
                <c:formatCode>General</c:formatCode>
                <c:ptCount val="3"/>
                <c:pt idx="0">
                  <c:v>142.5</c:v>
                </c:pt>
                <c:pt idx="1">
                  <c:v>125</c:v>
                </c:pt>
                <c:pt idx="2">
                  <c:v>342.5</c:v>
                </c:pt>
              </c:numCache>
            </c:numRef>
          </c:val>
        </c:ser>
        <c:ser>
          <c:idx val="2"/>
          <c:order val="2"/>
          <c:tx>
            <c:strRef>
              <c:f>'Box Plot 5'!$E$7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5'!$F$4:$H$4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5'!$F$7:$H$7</c:f>
              <c:numCache>
                <c:formatCode>General</c:formatCode>
                <c:ptCount val="3"/>
                <c:pt idx="0">
                  <c:v>202.5</c:v>
                </c:pt>
                <c:pt idx="1">
                  <c:v>220</c:v>
                </c:pt>
                <c:pt idx="2">
                  <c:v>132.5</c:v>
                </c:pt>
              </c:numCache>
            </c:numRef>
          </c:val>
        </c:ser>
        <c:ser>
          <c:idx val="3"/>
          <c:order val="3"/>
          <c:tx>
            <c:strRef>
              <c:f>'Box Plot 5'!$E$8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5'!$F$9:$H$9</c:f>
                <c:numCache>
                  <c:formatCode>General</c:formatCode>
                  <c:ptCount val="3"/>
                  <c:pt idx="0">
                    <c:v>597.5</c:v>
                  </c:pt>
                  <c:pt idx="1">
                    <c:v>115</c:v>
                  </c:pt>
                  <c:pt idx="2">
                    <c:v>512.5</c:v>
                  </c:pt>
                </c:numCache>
              </c:numRef>
            </c:plus>
          </c:errBars>
          <c:cat>
            <c:strRef>
              <c:f>'Box Plot 5'!$F$4:$H$4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5'!$F$8:$H$8</c:f>
              <c:numCache>
                <c:formatCode>General</c:formatCode>
                <c:ptCount val="3"/>
                <c:pt idx="0">
                  <c:v>237.5</c:v>
                </c:pt>
                <c:pt idx="1">
                  <c:v>120</c:v>
                </c:pt>
                <c:pt idx="2">
                  <c:v>332.5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70216"/>
        <c:axId val="68427178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5'!$F$10:$H$10</c:f>
              <c:numCache>
                <c:formatCode>General</c:formatCode>
                <c:ptCount val="3"/>
                <c:pt idx="0">
                  <c:v>784</c:v>
                </c:pt>
                <c:pt idx="1">
                  <c:v>696</c:v>
                </c:pt>
                <c:pt idx="2">
                  <c:v>1010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'Box Plot 5'!$G$21:$G$22</c:f>
              <c:numCache>
                <c:formatCode>General</c:formatCode>
                <c:ptCount val="2"/>
                <c:pt idx="0">
                  <c:v>1850</c:v>
                </c:pt>
                <c:pt idx="1">
                  <c:v>-300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0216"/>
        <c:axId val="684271784"/>
      </c:scatterChart>
      <c:catAx>
        <c:axId val="684270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71784"/>
        <c:crosses val="autoZero"/>
        <c:auto val="1"/>
        <c:lblAlgn val="ctr"/>
        <c:lblOffset val="100"/>
        <c:noMultiLvlLbl val="0"/>
      </c:catAx>
      <c:valAx>
        <c:axId val="684271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70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'Box Plot 6'!$E$6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'Box Plot 6'!$F$5:$H$5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6'!$F$6:$H$6</c:f>
              <c:numCache>
                <c:formatCode>General</c:formatCode>
                <c:ptCount val="3"/>
                <c:pt idx="0">
                  <c:v>720</c:v>
                </c:pt>
                <c:pt idx="1">
                  <c:v>0</c:v>
                </c:pt>
                <c:pt idx="2">
                  <c:v>480</c:v>
                </c:pt>
              </c:numCache>
            </c:numRef>
          </c:val>
        </c:ser>
        <c:ser>
          <c:idx val="1"/>
          <c:order val="1"/>
          <c:tx>
            <c:strRef>
              <c:f>'Box Plot 6'!$E$7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'Box Plot 6'!$F$5:$H$5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6'!$F$7:$H$7</c:f>
              <c:numCache>
                <c:formatCode>General</c:formatCode>
                <c:ptCount val="3"/>
                <c:pt idx="0">
                  <c:v>87.5</c:v>
                </c:pt>
                <c:pt idx="1">
                  <c:v>427.5</c:v>
                </c:pt>
                <c:pt idx="2">
                  <c:v>342.5</c:v>
                </c:pt>
              </c:numCache>
            </c:numRef>
          </c:val>
        </c:ser>
        <c:ser>
          <c:idx val="2"/>
          <c:order val="2"/>
          <c:tx>
            <c:strRef>
              <c:f>'Box Plot 6'!$E$8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'Box Plot 6'!$F$5:$H$5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6'!$F$8:$H$8</c:f>
              <c:numCache>
                <c:formatCode>General</c:formatCode>
                <c:ptCount val="3"/>
                <c:pt idx="0">
                  <c:v>82.5</c:v>
                </c:pt>
                <c:pt idx="1">
                  <c:v>192.5</c:v>
                </c:pt>
                <c:pt idx="2">
                  <c:v>132.5</c:v>
                </c:pt>
              </c:numCache>
            </c:numRef>
          </c:val>
        </c:ser>
        <c:ser>
          <c:idx val="3"/>
          <c:order val="3"/>
          <c:tx>
            <c:strRef>
              <c:f>'Box Plot 6'!$E$9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'Box Plot 6'!$F$10:$H$10</c:f>
                <c:numCache>
                  <c:formatCode>General</c:formatCode>
                  <c:ptCount val="3"/>
                  <c:pt idx="0">
                    <c:v>457.5</c:v>
                  </c:pt>
                  <c:pt idx="1">
                    <c:v>175</c:v>
                  </c:pt>
                  <c:pt idx="2">
                    <c:v>512.5</c:v>
                  </c:pt>
                </c:numCache>
              </c:numRef>
            </c:plus>
          </c:errBars>
          <c:cat>
            <c:strRef>
              <c:f>'Box Plot 6'!$F$5:$H$5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'Box Plot 6'!$F$9:$H$9</c:f>
              <c:numCache>
                <c:formatCode>General</c:formatCode>
                <c:ptCount val="3"/>
                <c:pt idx="0">
                  <c:v>352.5</c:v>
                </c:pt>
                <c:pt idx="1">
                  <c:v>195</c:v>
                </c:pt>
                <c:pt idx="2">
                  <c:v>332.5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75704"/>
        <c:axId val="68427688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'Box Plot 6'!$F$11:$H$11</c:f>
              <c:numCache>
                <c:formatCode>General</c:formatCode>
                <c:ptCount val="3"/>
                <c:pt idx="0">
                  <c:v>989</c:v>
                </c:pt>
                <c:pt idx="1">
                  <c:v>637</c:v>
                </c:pt>
                <c:pt idx="2">
                  <c:v>1060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'Box Plot 6'!$F$22</c:f>
              <c:numCache>
                <c:formatCode>General</c:formatCode>
                <c:ptCount val="1"/>
                <c:pt idx="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'Box Plot 6'!$G$22:$G$23</c:f>
              <c:numCache>
                <c:formatCode>General</c:formatCode>
                <c:ptCount val="2"/>
                <c:pt idx="0">
                  <c:v>1900</c:v>
                </c:pt>
                <c:pt idx="1">
                  <c:v>-250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5704"/>
        <c:axId val="684276880"/>
      </c:scatterChart>
      <c:scatterChart>
        <c:scatterStyle val="lineMarker"/>
        <c:varyColors val="0"/>
        <c:ser>
          <c:idx val="7"/>
          <c:order val="7"/>
          <c:tx>
            <c:v>s</c:v>
          </c:tx>
          <c:spPr>
            <a:ln w="28575"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69040"/>
        <c:axId val="684277664"/>
      </c:scatterChart>
      <c:catAx>
        <c:axId val="684275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76880"/>
        <c:crosses val="autoZero"/>
        <c:auto val="1"/>
        <c:lblAlgn val="ctr"/>
        <c:lblOffset val="100"/>
        <c:noMultiLvlLbl val="0"/>
      </c:catAx>
      <c:valAx>
        <c:axId val="6842768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75704"/>
        <c:crosses val="autoZero"/>
        <c:crossBetween val="between"/>
      </c:valAx>
      <c:valAx>
        <c:axId val="684277664"/>
        <c:scaling>
          <c:orientation val="minMax"/>
          <c:max val="2450"/>
          <c:min val="-550"/>
        </c:scaling>
        <c:delete val="0"/>
        <c:axPos val="r"/>
        <c:numFmt formatCode="General" sourceLinked="1"/>
        <c:majorTickMark val="out"/>
        <c:minorTickMark val="none"/>
        <c:tickLblPos val="nextTo"/>
        <c:crossAx val="684269040"/>
        <c:crosses val="max"/>
        <c:crossBetween val="midCat"/>
      </c:valAx>
      <c:valAx>
        <c:axId val="68426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6842776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Dot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'Dot 1'!$A$15:$C$15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Ref>
              <c:f>'Dot 1'!$A$16:$C$16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4273744"/>
        <c:axId val="684276488"/>
      </c:barChart>
      <c:scatterChart>
        <c:scatterStyle val="lineMarker"/>
        <c:varyColors val="0"/>
        <c:ser>
          <c:idx val="1"/>
          <c:order val="1"/>
          <c:tx>
            <c:strRef>
              <c:f>'Dot 1'!$F$3</c:f>
              <c:strCache>
                <c:ptCount val="1"/>
                <c:pt idx="0">
                  <c:v>Brand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'Dot 1'!$E$4:$E$13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xVal>
          <c:yVal>
            <c:numRef>
              <c:f>'Dot 1'!$F$4:$F$13</c:f>
              <c:numCache>
                <c:formatCode>General</c:formatCode>
                <c:ptCount val="10"/>
                <c:pt idx="0">
                  <c:v>1020</c:v>
                </c:pt>
                <c:pt idx="1">
                  <c:v>1560</c:v>
                </c:pt>
                <c:pt idx="2">
                  <c:v>560</c:v>
                </c:pt>
                <c:pt idx="3">
                  <c:v>780</c:v>
                </c:pt>
                <c:pt idx="4">
                  <c:v>990</c:v>
                </c:pt>
                <c:pt idx="5">
                  <c:v>670</c:v>
                </c:pt>
                <c:pt idx="6">
                  <c:v>510</c:v>
                </c:pt>
                <c:pt idx="7">
                  <c:v>490</c:v>
                </c:pt>
                <c:pt idx="8">
                  <c:v>380</c:v>
                </c:pt>
                <c:pt idx="9">
                  <c:v>880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'Dot 1'!$H$3</c:f>
              <c:strCache>
                <c:ptCount val="1"/>
                <c:pt idx="0">
                  <c:v>Brand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'Dot 1'!$G$4:$G$13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</c:numCache>
            </c:numRef>
          </c:xVal>
          <c:yVal>
            <c:numRef>
              <c:f>'Dot 1'!$H$4:$H$13</c:f>
              <c:numCache>
                <c:formatCode>General</c:formatCode>
                <c:ptCount val="10"/>
                <c:pt idx="0">
                  <c:v>840</c:v>
                </c:pt>
                <c:pt idx="1">
                  <c:v>940</c:v>
                </c:pt>
                <c:pt idx="2">
                  <c:v>780</c:v>
                </c:pt>
                <c:pt idx="3">
                  <c:v>650</c:v>
                </c:pt>
                <c:pt idx="4">
                  <c:v>720</c:v>
                </c:pt>
                <c:pt idx="5">
                  <c:v>430</c:v>
                </c:pt>
                <c:pt idx="6">
                  <c:v>1850</c:v>
                </c:pt>
                <c:pt idx="7">
                  <c:v>300</c:v>
                </c:pt>
                <c:pt idx="8">
                  <c:v>360</c:v>
                </c:pt>
                <c:pt idx="9">
                  <c:v>690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'Dot 1'!$J$3</c:f>
              <c:strCache>
                <c:ptCount val="1"/>
                <c:pt idx="0">
                  <c:v>Brand 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'Dot 1'!$I$4:$I$13</c:f>
              <c:numCache>
                <c:formatCode>General</c:formatCode>
                <c:ptCount val="1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xVal>
          <c:yVal>
            <c:numRef>
              <c:f>'Dot 1'!$J$4:$J$13</c:f>
              <c:numCache>
                <c:formatCode>General</c:formatCode>
                <c:ptCount val="10"/>
                <c:pt idx="0">
                  <c:v>1430</c:v>
                </c:pt>
                <c:pt idx="1">
                  <c:v>1750</c:v>
                </c:pt>
                <c:pt idx="2">
                  <c:v>870</c:v>
                </c:pt>
                <c:pt idx="3">
                  <c:v>920</c:v>
                </c:pt>
                <c:pt idx="4">
                  <c:v>1300</c:v>
                </c:pt>
                <c:pt idx="5">
                  <c:v>890</c:v>
                </c:pt>
                <c:pt idx="6">
                  <c:v>740</c:v>
                </c:pt>
                <c:pt idx="7">
                  <c:v>720</c:v>
                </c:pt>
                <c:pt idx="8">
                  <c:v>430</c:v>
                </c:pt>
                <c:pt idx="9">
                  <c:v>1050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3744"/>
        <c:axId val="684276488"/>
      </c:scatterChart>
      <c:catAx>
        <c:axId val="68427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76488"/>
        <c:crosses val="autoZero"/>
        <c:auto val="1"/>
        <c:lblAlgn val="ctr"/>
        <c:lblOffset val="100"/>
        <c:noMultiLvlLbl val="0"/>
      </c:catAx>
      <c:valAx>
        <c:axId val="684276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7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Dot Plot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'Dot 2'!$A$3:$C$3</c:f>
              <c:strCache>
                <c:ptCount val="3"/>
                <c:pt idx="0">
                  <c:v>Brand A</c:v>
                </c:pt>
                <c:pt idx="1">
                  <c:v>Brand B</c:v>
                </c:pt>
                <c:pt idx="2">
                  <c:v>Brand C</c:v>
                </c:pt>
              </c:strCache>
            </c:strRef>
          </c:cat>
          <c:val>
            <c:numLit>
              <c:formatCode>General</c:formatCode>
              <c:ptCount val="3"/>
              <c:pt idx="0">
                <c:v>0</c:v>
              </c:pt>
              <c:pt idx="1">
                <c:v>0</c:v>
              </c:pt>
              <c:pt idx="2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70608"/>
        <c:axId val="684272960"/>
      </c:barChart>
      <c:scatterChart>
        <c:scatterStyle val="lineMarker"/>
        <c:varyColors val="0"/>
        <c:ser>
          <c:idx val="1"/>
          <c:order val="1"/>
          <c:spPr>
            <a:ln w="19050">
              <a:noFill/>
            </a:ln>
          </c:spPr>
          <c:marker>
            <c:symbol val="circle"/>
            <c:size val="5"/>
          </c:marker>
          <c:xVal>
            <c:numLit>
              <c:formatCode>General</c:formatCode>
              <c:ptCount val="1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</c:numLit>
          </c:xVal>
          <c:yVal>
            <c:numRef>
              <c:f>'Dot 2'!$A$4:$A$13</c:f>
              <c:numCache>
                <c:formatCode>General</c:formatCode>
                <c:ptCount val="10"/>
                <c:pt idx="0">
                  <c:v>1020</c:v>
                </c:pt>
                <c:pt idx="1">
                  <c:v>1560</c:v>
                </c:pt>
                <c:pt idx="2">
                  <c:v>560</c:v>
                </c:pt>
                <c:pt idx="3">
                  <c:v>780</c:v>
                </c:pt>
                <c:pt idx="4">
                  <c:v>990</c:v>
                </c:pt>
                <c:pt idx="5">
                  <c:v>670</c:v>
                </c:pt>
                <c:pt idx="6">
                  <c:v>510</c:v>
                </c:pt>
                <c:pt idx="7">
                  <c:v>490</c:v>
                </c:pt>
                <c:pt idx="8">
                  <c:v>380</c:v>
                </c:pt>
                <c:pt idx="9">
                  <c:v>880</c:v>
                </c:pt>
              </c:numCache>
            </c:numRef>
          </c:yVal>
          <c:smooth val="0"/>
        </c:ser>
        <c:ser>
          <c:idx val="2"/>
          <c:order val="2"/>
          <c:spPr>
            <a:ln w="19050">
              <a:noFill/>
            </a:ln>
          </c:spPr>
          <c:marker>
            <c:symbol val="circle"/>
            <c:size val="5"/>
          </c:marker>
          <c:xVal>
            <c:numLit>
              <c:formatCode>General</c:formatCode>
              <c:ptCount val="10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  <c:pt idx="6">
                <c:v>2</c:v>
              </c:pt>
              <c:pt idx="7">
                <c:v>2</c:v>
              </c:pt>
              <c:pt idx="8">
                <c:v>2</c:v>
              </c:pt>
              <c:pt idx="9">
                <c:v>2</c:v>
              </c:pt>
            </c:numLit>
          </c:xVal>
          <c:yVal>
            <c:numRef>
              <c:f>'Dot 2'!$B$4:$B$13</c:f>
              <c:numCache>
                <c:formatCode>General</c:formatCode>
                <c:ptCount val="10"/>
                <c:pt idx="0">
                  <c:v>840</c:v>
                </c:pt>
                <c:pt idx="1">
                  <c:v>940</c:v>
                </c:pt>
                <c:pt idx="2">
                  <c:v>780</c:v>
                </c:pt>
                <c:pt idx="3">
                  <c:v>650</c:v>
                </c:pt>
                <c:pt idx="4">
                  <c:v>720</c:v>
                </c:pt>
                <c:pt idx="5">
                  <c:v>430</c:v>
                </c:pt>
                <c:pt idx="6">
                  <c:v>1850</c:v>
                </c:pt>
                <c:pt idx="7">
                  <c:v>300</c:v>
                </c:pt>
                <c:pt idx="8">
                  <c:v>360</c:v>
                </c:pt>
                <c:pt idx="9">
                  <c:v>690</c:v>
                </c:pt>
              </c:numCache>
            </c:numRef>
          </c:yVal>
          <c:smooth val="0"/>
        </c:ser>
        <c:ser>
          <c:idx val="3"/>
          <c:order val="3"/>
          <c:spPr>
            <a:ln w="19050">
              <a:noFill/>
            </a:ln>
          </c:spPr>
          <c:marker>
            <c:symbol val="circle"/>
            <c:size val="5"/>
          </c:marker>
          <c:xVal>
            <c:numLit>
              <c:formatCode>General</c:formatCode>
              <c:ptCount val="10"/>
              <c:pt idx="0">
                <c:v>3</c:v>
              </c:pt>
              <c:pt idx="1">
                <c:v>3</c:v>
              </c:pt>
              <c:pt idx="2">
                <c:v>3</c:v>
              </c:pt>
              <c:pt idx="3">
                <c:v>3</c:v>
              </c:pt>
              <c:pt idx="4">
                <c:v>3</c:v>
              </c:pt>
              <c:pt idx="5">
                <c:v>3</c:v>
              </c:pt>
              <c:pt idx="6">
                <c:v>3</c:v>
              </c:pt>
              <c:pt idx="7">
                <c:v>3</c:v>
              </c:pt>
              <c:pt idx="8">
                <c:v>3</c:v>
              </c:pt>
              <c:pt idx="9">
                <c:v>3</c:v>
              </c:pt>
            </c:numLit>
          </c:xVal>
          <c:yVal>
            <c:numRef>
              <c:f>'Dot 2'!$C$4:$C$13</c:f>
              <c:numCache>
                <c:formatCode>General</c:formatCode>
                <c:ptCount val="10"/>
                <c:pt idx="0">
                  <c:v>1430</c:v>
                </c:pt>
                <c:pt idx="1">
                  <c:v>1750</c:v>
                </c:pt>
                <c:pt idx="2">
                  <c:v>870</c:v>
                </c:pt>
                <c:pt idx="3">
                  <c:v>920</c:v>
                </c:pt>
                <c:pt idx="4">
                  <c:v>1300</c:v>
                </c:pt>
                <c:pt idx="5">
                  <c:v>890</c:v>
                </c:pt>
                <c:pt idx="6">
                  <c:v>740</c:v>
                </c:pt>
                <c:pt idx="7">
                  <c:v>720</c:v>
                </c:pt>
                <c:pt idx="8">
                  <c:v>430</c:v>
                </c:pt>
                <c:pt idx="9">
                  <c:v>1050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0608"/>
        <c:axId val="684272960"/>
      </c:scatterChart>
      <c:catAx>
        <c:axId val="68427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72960"/>
        <c:crosses val="autoZero"/>
        <c:auto val="1"/>
        <c:lblAlgn val="ctr"/>
        <c:lblOffset val="100"/>
        <c:noMultiLvlLbl val="0"/>
      </c:catAx>
      <c:valAx>
        <c:axId val="684272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70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ROC Curve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ROC!$H$25:$H$35</c:f>
              <c:numCache>
                <c:formatCode>General</c:formatCode>
                <c:ptCount val="11"/>
                <c:pt idx="0">
                  <c:v>1</c:v>
                </c:pt>
                <c:pt idx="1">
                  <c:v>0.93548387096774199</c:v>
                </c:pt>
                <c:pt idx="2">
                  <c:v>0.81593927893738138</c:v>
                </c:pt>
                <c:pt idx="3">
                  <c:v>0.64895635673624286</c:v>
                </c:pt>
                <c:pt idx="4">
                  <c:v>0.44971537001897532</c:v>
                </c:pt>
                <c:pt idx="5">
                  <c:v>0.21631878557874762</c:v>
                </c:pt>
                <c:pt idx="6">
                  <c:v>3.6053130929791233E-2</c:v>
                </c:pt>
                <c:pt idx="7">
                  <c:v>1.8975332068311146E-2</c:v>
                </c:pt>
                <c:pt idx="8">
                  <c:v>7.5901328273244584E-3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ROC!$I$25:$I$35</c:f>
              <c:numCache>
                <c:formatCode>General</c:formatCode>
                <c:ptCount val="11"/>
                <c:pt idx="0">
                  <c:v>1</c:v>
                </c:pt>
                <c:pt idx="1">
                  <c:v>0.989247311827957</c:v>
                </c:pt>
                <c:pt idx="2">
                  <c:v>0.96415770609318996</c:v>
                </c:pt>
                <c:pt idx="3">
                  <c:v>0.92473118279569888</c:v>
                </c:pt>
                <c:pt idx="4">
                  <c:v>0.87455197132616491</c:v>
                </c:pt>
                <c:pt idx="5">
                  <c:v>0.79211469534050183</c:v>
                </c:pt>
                <c:pt idx="6">
                  <c:v>0.57706093189964158</c:v>
                </c:pt>
                <c:pt idx="7">
                  <c:v>0.30824372759856633</c:v>
                </c:pt>
                <c:pt idx="8">
                  <c:v>0.16129032258064513</c:v>
                </c:pt>
                <c:pt idx="9">
                  <c:v>5.3763440860215006E-2</c:v>
                </c:pt>
                <c:pt idx="1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8840"/>
        <c:axId val="684276096"/>
      </c:scatterChart>
      <c:valAx>
        <c:axId val="684278840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76096"/>
        <c:crosses val="autoZero"/>
        <c:crossBetween val="midCat"/>
      </c:valAx>
      <c:valAx>
        <c:axId val="684276096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788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ROC Curve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ROC!$H$44:$H$54</c:f>
              <c:numCache>
                <c:formatCode>General</c:formatCode>
                <c:ptCount val="11"/>
                <c:pt idx="0">
                  <c:v>1</c:v>
                </c:pt>
                <c:pt idx="1">
                  <c:v>0.93548387096774199</c:v>
                </c:pt>
                <c:pt idx="2">
                  <c:v>0.81593927893738138</c:v>
                </c:pt>
                <c:pt idx="3">
                  <c:v>0.64895635673624286</c:v>
                </c:pt>
                <c:pt idx="4">
                  <c:v>0.44971537001897532</c:v>
                </c:pt>
                <c:pt idx="5">
                  <c:v>0.21631878557874762</c:v>
                </c:pt>
                <c:pt idx="6">
                  <c:v>3.6053130929791233E-2</c:v>
                </c:pt>
                <c:pt idx="7">
                  <c:v>1.8975332068311146E-2</c:v>
                </c:pt>
                <c:pt idx="8">
                  <c:v>7.5901328273244584E-3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ROC!$I$44:$I$54</c:f>
              <c:numCache>
                <c:formatCode>General</c:formatCode>
                <c:ptCount val="11"/>
                <c:pt idx="0">
                  <c:v>1</c:v>
                </c:pt>
                <c:pt idx="1">
                  <c:v>0.989247311827957</c:v>
                </c:pt>
                <c:pt idx="2">
                  <c:v>0.96415770609318996</c:v>
                </c:pt>
                <c:pt idx="3">
                  <c:v>0.92473118279569888</c:v>
                </c:pt>
                <c:pt idx="4">
                  <c:v>0.87455197132616491</c:v>
                </c:pt>
                <c:pt idx="5">
                  <c:v>0.79211469534050183</c:v>
                </c:pt>
                <c:pt idx="6">
                  <c:v>0.57706093189964158</c:v>
                </c:pt>
                <c:pt idx="7">
                  <c:v>0.30824372759856633</c:v>
                </c:pt>
                <c:pt idx="8">
                  <c:v>0.16129032258064513</c:v>
                </c:pt>
                <c:pt idx="9">
                  <c:v>5.3763440860215006E-2</c:v>
                </c:pt>
                <c:pt idx="1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79624"/>
        <c:axId val="684267864"/>
      </c:scatterChart>
      <c:valAx>
        <c:axId val="68427962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7864"/>
        <c:crosses val="autoZero"/>
        <c:crossBetween val="midCat"/>
      </c:valAx>
      <c:valAx>
        <c:axId val="684267864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796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ROC Curve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'ROC 1'!$H$4:$H$14</c:f>
              <c:numCache>
                <c:formatCode>General</c:formatCode>
                <c:ptCount val="11"/>
                <c:pt idx="0">
                  <c:v>1</c:v>
                </c:pt>
                <c:pt idx="1">
                  <c:v>0.93548387096774199</c:v>
                </c:pt>
                <c:pt idx="2">
                  <c:v>0.81593927893738138</c:v>
                </c:pt>
                <c:pt idx="3">
                  <c:v>0.64895635673624286</c:v>
                </c:pt>
                <c:pt idx="4">
                  <c:v>0.44971537001897532</c:v>
                </c:pt>
                <c:pt idx="5">
                  <c:v>0.21631878557874762</c:v>
                </c:pt>
                <c:pt idx="6">
                  <c:v>3.6053130929791233E-2</c:v>
                </c:pt>
                <c:pt idx="7">
                  <c:v>1.8975332068311146E-2</c:v>
                </c:pt>
                <c:pt idx="8">
                  <c:v>7.5901328273244584E-3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'ROC 1'!$I$4:$I$14</c:f>
              <c:numCache>
                <c:formatCode>General</c:formatCode>
                <c:ptCount val="11"/>
                <c:pt idx="0">
                  <c:v>1</c:v>
                </c:pt>
                <c:pt idx="1">
                  <c:v>0.989247311827957</c:v>
                </c:pt>
                <c:pt idx="2">
                  <c:v>0.96415770609318996</c:v>
                </c:pt>
                <c:pt idx="3">
                  <c:v>0.92473118279569888</c:v>
                </c:pt>
                <c:pt idx="4">
                  <c:v>0.87455197132616491</c:v>
                </c:pt>
                <c:pt idx="5">
                  <c:v>0.79211469534050183</c:v>
                </c:pt>
                <c:pt idx="6">
                  <c:v>0.57706093189964158</c:v>
                </c:pt>
                <c:pt idx="7">
                  <c:v>0.30824372759856633</c:v>
                </c:pt>
                <c:pt idx="8">
                  <c:v>0.16129032258064513</c:v>
                </c:pt>
                <c:pt idx="9">
                  <c:v>5.3763440860215006E-2</c:v>
                </c:pt>
                <c:pt idx="1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68256"/>
        <c:axId val="684269432"/>
      </c:scatterChart>
      <c:valAx>
        <c:axId val="68426825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9432"/>
        <c:crosses val="autoZero"/>
        <c:crossBetween val="midCat"/>
      </c:valAx>
      <c:valAx>
        <c:axId val="684269432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2682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IQ Scores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 1'!$B$3</c:f>
              <c:strCache>
                <c:ptCount val="1"/>
                <c:pt idx="0">
                  <c:v>f(x)</c:v>
                </c:pt>
              </c:strCache>
            </c:strRef>
          </c:tx>
          <c:marker>
            <c:symbol val="none"/>
          </c:marker>
          <c:cat>
            <c:numRef>
              <c:f>'Normal 1'!$A$4:$A$104</c:f>
              <c:numCache>
                <c:formatCode>General</c:formatCode>
                <c:ptCount val="101"/>
                <c:pt idx="0">
                  <c:v>50</c:v>
                </c:pt>
                <c:pt idx="1">
                  <c:v>51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  <c:pt idx="5">
                  <c:v>55</c:v>
                </c:pt>
                <c:pt idx="6">
                  <c:v>56</c:v>
                </c:pt>
                <c:pt idx="7">
                  <c:v>57</c:v>
                </c:pt>
                <c:pt idx="8">
                  <c:v>58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62</c:v>
                </c:pt>
                <c:pt idx="13">
                  <c:v>63</c:v>
                </c:pt>
                <c:pt idx="14">
                  <c:v>64</c:v>
                </c:pt>
                <c:pt idx="15">
                  <c:v>65</c:v>
                </c:pt>
                <c:pt idx="16">
                  <c:v>66</c:v>
                </c:pt>
                <c:pt idx="17">
                  <c:v>67</c:v>
                </c:pt>
                <c:pt idx="18">
                  <c:v>68</c:v>
                </c:pt>
                <c:pt idx="19">
                  <c:v>69</c:v>
                </c:pt>
                <c:pt idx="20">
                  <c:v>70</c:v>
                </c:pt>
                <c:pt idx="21">
                  <c:v>71</c:v>
                </c:pt>
                <c:pt idx="22">
                  <c:v>72</c:v>
                </c:pt>
                <c:pt idx="23">
                  <c:v>73</c:v>
                </c:pt>
                <c:pt idx="24">
                  <c:v>74</c:v>
                </c:pt>
                <c:pt idx="25">
                  <c:v>75</c:v>
                </c:pt>
                <c:pt idx="26">
                  <c:v>76</c:v>
                </c:pt>
                <c:pt idx="27">
                  <c:v>77</c:v>
                </c:pt>
                <c:pt idx="28">
                  <c:v>78</c:v>
                </c:pt>
                <c:pt idx="29">
                  <c:v>79</c:v>
                </c:pt>
                <c:pt idx="30">
                  <c:v>80</c:v>
                </c:pt>
                <c:pt idx="31">
                  <c:v>81</c:v>
                </c:pt>
                <c:pt idx="32">
                  <c:v>82</c:v>
                </c:pt>
                <c:pt idx="33">
                  <c:v>83</c:v>
                </c:pt>
                <c:pt idx="34">
                  <c:v>84</c:v>
                </c:pt>
                <c:pt idx="35">
                  <c:v>85</c:v>
                </c:pt>
                <c:pt idx="36">
                  <c:v>86</c:v>
                </c:pt>
                <c:pt idx="37">
                  <c:v>87</c:v>
                </c:pt>
                <c:pt idx="38">
                  <c:v>88</c:v>
                </c:pt>
                <c:pt idx="39">
                  <c:v>89</c:v>
                </c:pt>
                <c:pt idx="40">
                  <c:v>90</c:v>
                </c:pt>
                <c:pt idx="41">
                  <c:v>91</c:v>
                </c:pt>
                <c:pt idx="42">
                  <c:v>92</c:v>
                </c:pt>
                <c:pt idx="43">
                  <c:v>93</c:v>
                </c:pt>
                <c:pt idx="44">
                  <c:v>94</c:v>
                </c:pt>
                <c:pt idx="45">
                  <c:v>95</c:v>
                </c:pt>
                <c:pt idx="46">
                  <c:v>96</c:v>
                </c:pt>
                <c:pt idx="47">
                  <c:v>97</c:v>
                </c:pt>
                <c:pt idx="48">
                  <c:v>98</c:v>
                </c:pt>
                <c:pt idx="49">
                  <c:v>99</c:v>
                </c:pt>
                <c:pt idx="50">
                  <c:v>100</c:v>
                </c:pt>
                <c:pt idx="51">
                  <c:v>101</c:v>
                </c:pt>
                <c:pt idx="52">
                  <c:v>102</c:v>
                </c:pt>
                <c:pt idx="53">
                  <c:v>103</c:v>
                </c:pt>
                <c:pt idx="54">
                  <c:v>104</c:v>
                </c:pt>
                <c:pt idx="55">
                  <c:v>105</c:v>
                </c:pt>
                <c:pt idx="56">
                  <c:v>106</c:v>
                </c:pt>
                <c:pt idx="57">
                  <c:v>107</c:v>
                </c:pt>
                <c:pt idx="58">
                  <c:v>108</c:v>
                </c:pt>
                <c:pt idx="59">
                  <c:v>109</c:v>
                </c:pt>
                <c:pt idx="60">
                  <c:v>110</c:v>
                </c:pt>
                <c:pt idx="61">
                  <c:v>111</c:v>
                </c:pt>
                <c:pt idx="62">
                  <c:v>112</c:v>
                </c:pt>
                <c:pt idx="63">
                  <c:v>113</c:v>
                </c:pt>
                <c:pt idx="64">
                  <c:v>114</c:v>
                </c:pt>
                <c:pt idx="65">
                  <c:v>115</c:v>
                </c:pt>
                <c:pt idx="66">
                  <c:v>116</c:v>
                </c:pt>
                <c:pt idx="67">
                  <c:v>117</c:v>
                </c:pt>
                <c:pt idx="68">
                  <c:v>118</c:v>
                </c:pt>
                <c:pt idx="69">
                  <c:v>119</c:v>
                </c:pt>
                <c:pt idx="70">
                  <c:v>120</c:v>
                </c:pt>
                <c:pt idx="71">
                  <c:v>121</c:v>
                </c:pt>
                <c:pt idx="72">
                  <c:v>122</c:v>
                </c:pt>
                <c:pt idx="73">
                  <c:v>123</c:v>
                </c:pt>
                <c:pt idx="74">
                  <c:v>124</c:v>
                </c:pt>
                <c:pt idx="75">
                  <c:v>125</c:v>
                </c:pt>
                <c:pt idx="76">
                  <c:v>126</c:v>
                </c:pt>
                <c:pt idx="77">
                  <c:v>127</c:v>
                </c:pt>
                <c:pt idx="78">
                  <c:v>128</c:v>
                </c:pt>
                <c:pt idx="79">
                  <c:v>129</c:v>
                </c:pt>
                <c:pt idx="80">
                  <c:v>130</c:v>
                </c:pt>
                <c:pt idx="81">
                  <c:v>131</c:v>
                </c:pt>
                <c:pt idx="82">
                  <c:v>132</c:v>
                </c:pt>
                <c:pt idx="83">
                  <c:v>133</c:v>
                </c:pt>
                <c:pt idx="84">
                  <c:v>134</c:v>
                </c:pt>
                <c:pt idx="85">
                  <c:v>135</c:v>
                </c:pt>
                <c:pt idx="86">
                  <c:v>136</c:v>
                </c:pt>
                <c:pt idx="87">
                  <c:v>137</c:v>
                </c:pt>
                <c:pt idx="88">
                  <c:v>138</c:v>
                </c:pt>
                <c:pt idx="89">
                  <c:v>139</c:v>
                </c:pt>
                <c:pt idx="90">
                  <c:v>140</c:v>
                </c:pt>
                <c:pt idx="91">
                  <c:v>141</c:v>
                </c:pt>
                <c:pt idx="92">
                  <c:v>142</c:v>
                </c:pt>
                <c:pt idx="93">
                  <c:v>143</c:v>
                </c:pt>
                <c:pt idx="94">
                  <c:v>144</c:v>
                </c:pt>
                <c:pt idx="95">
                  <c:v>145</c:v>
                </c:pt>
                <c:pt idx="96">
                  <c:v>146</c:v>
                </c:pt>
                <c:pt idx="97">
                  <c:v>147</c:v>
                </c:pt>
                <c:pt idx="98">
                  <c:v>148</c:v>
                </c:pt>
                <c:pt idx="99">
                  <c:v>149</c:v>
                </c:pt>
                <c:pt idx="100">
                  <c:v>150</c:v>
                </c:pt>
              </c:numCache>
            </c:numRef>
          </c:cat>
          <c:val>
            <c:numRef>
              <c:f>'Normal 1'!$B$4:$B$104</c:f>
              <c:numCache>
                <c:formatCode>0.0000</c:formatCode>
                <c:ptCount val="101"/>
                <c:pt idx="0">
                  <c:v>1.8889112719992226E-4</c:v>
                </c:pt>
                <c:pt idx="1">
                  <c:v>2.2918514664338913E-4</c:v>
                </c:pt>
                <c:pt idx="2">
                  <c:v>2.7699052574612547E-4</c:v>
                </c:pt>
                <c:pt idx="3">
                  <c:v>3.3346242072414468E-4</c:v>
                </c:pt>
                <c:pt idx="4">
                  <c:v>3.9988251942022228E-4</c:v>
                </c:pt>
                <c:pt idx="5">
                  <c:v>4.776628636716501E-4</c:v>
                </c:pt>
                <c:pt idx="6">
                  <c:v>5.6834765634944081E-4</c:v>
                </c:pt>
                <c:pt idx="7">
                  <c:v>6.7361260626693149E-4</c:v>
                </c:pt>
                <c:pt idx="8">
                  <c:v>7.9526134980196454E-4</c:v>
                </c:pt>
                <c:pt idx="9">
                  <c:v>9.3521848661962169E-4</c:v>
                </c:pt>
                <c:pt idx="10">
                  <c:v>1.0955187808480338E-3</c:v>
                </c:pt>
                <c:pt idx="11">
                  <c:v>1.2782921107988374E-3</c:v>
                </c:pt>
                <c:pt idx="12">
                  <c:v>1.4857438018696129E-3</c:v>
                </c:pt>
                <c:pt idx="13">
                  <c:v>1.7201300501815293E-3</c:v>
                </c:pt>
                <c:pt idx="14">
                  <c:v>1.9837282397292136E-3</c:v>
                </c:pt>
                <c:pt idx="15">
                  <c:v>2.2788020735120089E-3</c:v>
                </c:pt>
                <c:pt idx="16">
                  <c:v>2.6075615785211633E-3</c:v>
                </c:pt>
                <c:pt idx="17">
                  <c:v>2.9721182037899768E-3</c:v>
                </c:pt>
                <c:pt idx="18">
                  <c:v>3.3744354070742539E-3</c:v>
                </c:pt>
                <c:pt idx="19">
                  <c:v>3.8162753150666464E-3</c:v>
                </c:pt>
                <c:pt idx="20">
                  <c:v>4.299142239168244E-3</c:v>
                </c:pt>
                <c:pt idx="21">
                  <c:v>4.8242240274819197E-3</c:v>
                </c:pt>
                <c:pt idx="22">
                  <c:v>5.3923324266569707E-3</c:v>
                </c:pt>
                <c:pt idx="23">
                  <c:v>6.0038438065695846E-3</c:v>
                </c:pt>
                <c:pt idx="24">
                  <c:v>6.6586417581615672E-3</c:v>
                </c:pt>
                <c:pt idx="25">
                  <c:v>7.3560632015200033E-3</c:v>
                </c:pt>
                <c:pt idx="26">
                  <c:v>8.094849729118234E-3</c:v>
                </c:pt>
                <c:pt idx="27">
                  <c:v>8.8731059503259716E-3</c:v>
                </c:pt>
                <c:pt idx="28">
                  <c:v>9.6882665911433262E-3</c:v>
                </c:pt>
                <c:pt idx="29">
                  <c:v>1.0537074032382195E-2</c:v>
                </c:pt>
                <c:pt idx="30">
                  <c:v>1.141556783681387E-2</c:v>
                </c:pt>
                <c:pt idx="31">
                  <c:v>1.2319087619911706E-2</c:v>
                </c:pt>
                <c:pt idx="32">
                  <c:v>1.3242290360981217E-2</c:v>
                </c:pt>
                <c:pt idx="33">
                  <c:v>1.417918293555079E-2</c:v>
                </c:pt>
                <c:pt idx="34">
                  <c:v>1.512317028244646E-2</c:v>
                </c:pt>
                <c:pt idx="35">
                  <c:v>1.6067119209170918E-2</c:v>
                </c:pt>
                <c:pt idx="36">
                  <c:v>1.700343739865897E-2</c:v>
                </c:pt>
                <c:pt idx="37">
                  <c:v>1.7924166722900904E-2</c:v>
                </c:pt>
                <c:pt idx="38">
                  <c:v>1.8821089509675277E-2</c:v>
                </c:pt>
                <c:pt idx="39">
                  <c:v>1.9685845964162084E-2</c:v>
                </c:pt>
                <c:pt idx="40">
                  <c:v>2.0510060534398442E-2</c:v>
                </c:pt>
                <c:pt idx="41">
                  <c:v>2.1285474644989418E-2</c:v>
                </c:pt>
                <c:pt idx="42">
                  <c:v>2.200408292276872E-2</c:v>
                </c:pt>
                <c:pt idx="43">
                  <c:v>2.2658269815027828E-2</c:v>
                </c:pt>
                <c:pt idx="44">
                  <c:v>2.3240943366860559E-2</c:v>
                </c:pt>
                <c:pt idx="45">
                  <c:v>2.3745662887414237E-2</c:v>
                </c:pt>
                <c:pt idx="46">
                  <c:v>2.4166757300178077E-2</c:v>
                </c:pt>
                <c:pt idx="47">
                  <c:v>2.4499431140785746E-2</c:v>
                </c:pt>
                <c:pt idx="48">
                  <c:v>2.4739855434046845E-2</c:v>
                </c:pt>
                <c:pt idx="49">
                  <c:v>2.4885241042930415E-2</c:v>
                </c:pt>
                <c:pt idx="50">
                  <c:v>2.4933892525089544E-2</c:v>
                </c:pt>
                <c:pt idx="51">
                  <c:v>2.4885241042930415E-2</c:v>
                </c:pt>
                <c:pt idx="52">
                  <c:v>2.4739855434046845E-2</c:v>
                </c:pt>
                <c:pt idx="53">
                  <c:v>2.4499431140785746E-2</c:v>
                </c:pt>
                <c:pt idx="54">
                  <c:v>2.4166757300178077E-2</c:v>
                </c:pt>
                <c:pt idx="55">
                  <c:v>2.3745662887414237E-2</c:v>
                </c:pt>
                <c:pt idx="56">
                  <c:v>2.3240943366860559E-2</c:v>
                </c:pt>
                <c:pt idx="57">
                  <c:v>2.2658269815027828E-2</c:v>
                </c:pt>
                <c:pt idx="58">
                  <c:v>2.200408292276872E-2</c:v>
                </c:pt>
                <c:pt idx="59">
                  <c:v>2.1285474644989418E-2</c:v>
                </c:pt>
                <c:pt idx="60">
                  <c:v>2.0510060534398442E-2</c:v>
                </c:pt>
                <c:pt idx="61">
                  <c:v>1.9685845964162084E-2</c:v>
                </c:pt>
                <c:pt idx="62">
                  <c:v>1.8821089509675277E-2</c:v>
                </c:pt>
                <c:pt idx="63">
                  <c:v>1.7924166722900904E-2</c:v>
                </c:pt>
                <c:pt idx="64">
                  <c:v>1.700343739865897E-2</c:v>
                </c:pt>
                <c:pt idx="65">
                  <c:v>1.6067119209170918E-2</c:v>
                </c:pt>
                <c:pt idx="66">
                  <c:v>1.512317028244646E-2</c:v>
                </c:pt>
                <c:pt idx="67">
                  <c:v>1.417918293555079E-2</c:v>
                </c:pt>
                <c:pt idx="68">
                  <c:v>1.3242290360981217E-2</c:v>
                </c:pt>
                <c:pt idx="69">
                  <c:v>1.2319087619911706E-2</c:v>
                </c:pt>
                <c:pt idx="70">
                  <c:v>1.141556783681387E-2</c:v>
                </c:pt>
                <c:pt idx="71">
                  <c:v>1.0537074032382195E-2</c:v>
                </c:pt>
                <c:pt idx="72">
                  <c:v>9.6882665911433262E-3</c:v>
                </c:pt>
                <c:pt idx="73">
                  <c:v>8.8731059503259716E-3</c:v>
                </c:pt>
                <c:pt idx="74">
                  <c:v>8.094849729118234E-3</c:v>
                </c:pt>
                <c:pt idx="75">
                  <c:v>7.3560632015200033E-3</c:v>
                </c:pt>
                <c:pt idx="76">
                  <c:v>6.6586417581615672E-3</c:v>
                </c:pt>
                <c:pt idx="77">
                  <c:v>6.0038438065695846E-3</c:v>
                </c:pt>
                <c:pt idx="78">
                  <c:v>5.3923324266569707E-3</c:v>
                </c:pt>
                <c:pt idx="79">
                  <c:v>4.8242240274819197E-3</c:v>
                </c:pt>
                <c:pt idx="80">
                  <c:v>4.299142239168244E-3</c:v>
                </c:pt>
                <c:pt idx="81">
                  <c:v>3.8162753150666464E-3</c:v>
                </c:pt>
                <c:pt idx="82">
                  <c:v>3.3744354070742539E-3</c:v>
                </c:pt>
                <c:pt idx="83">
                  <c:v>2.9721182037899768E-3</c:v>
                </c:pt>
                <c:pt idx="84">
                  <c:v>2.6075615785211633E-3</c:v>
                </c:pt>
                <c:pt idx="85">
                  <c:v>2.2788020735120089E-3</c:v>
                </c:pt>
                <c:pt idx="86">
                  <c:v>1.9837282397292136E-3</c:v>
                </c:pt>
                <c:pt idx="87">
                  <c:v>1.7201300501815293E-3</c:v>
                </c:pt>
                <c:pt idx="88">
                  <c:v>1.4857438018696129E-3</c:v>
                </c:pt>
                <c:pt idx="89">
                  <c:v>1.2782921107988374E-3</c:v>
                </c:pt>
                <c:pt idx="90">
                  <c:v>1.0955187808480338E-3</c:v>
                </c:pt>
                <c:pt idx="91">
                  <c:v>9.3521848661962169E-4</c:v>
                </c:pt>
                <c:pt idx="92">
                  <c:v>7.9526134980196454E-4</c:v>
                </c:pt>
                <c:pt idx="93">
                  <c:v>6.7361260626693149E-4</c:v>
                </c:pt>
                <c:pt idx="94">
                  <c:v>5.6834765634944081E-4</c:v>
                </c:pt>
                <c:pt idx="95">
                  <c:v>4.776628636716501E-4</c:v>
                </c:pt>
                <c:pt idx="96">
                  <c:v>3.9988251942022228E-4</c:v>
                </c:pt>
                <c:pt idx="97">
                  <c:v>3.3346242072414468E-4</c:v>
                </c:pt>
                <c:pt idx="98">
                  <c:v>2.7699052574612547E-4</c:v>
                </c:pt>
                <c:pt idx="99">
                  <c:v>2.2918514664338913E-4</c:v>
                </c:pt>
                <c:pt idx="100">
                  <c:v>1.8889112719992226E-4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72568"/>
        <c:axId val="684290600"/>
      </c:lineChart>
      <c:catAx>
        <c:axId val="684272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0600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684290600"/>
        <c:scaling>
          <c:orientation val="minMax"/>
        </c:scaling>
        <c:delete val="0"/>
        <c:axPos val="l"/>
        <c:majorGridlines/>
        <c:numFmt formatCode="0.000" sourceLinked="0"/>
        <c:majorTickMark val="out"/>
        <c:minorTickMark val="none"/>
        <c:tickLblPos val="nextTo"/>
        <c:crossAx val="684272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Income/Rent by Age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 Chart 2'!$B$3</c:f>
              <c:strCache>
                <c:ptCount val="1"/>
                <c:pt idx="0">
                  <c:v>Income</c:v>
                </c:pt>
              </c:strCache>
            </c:strRef>
          </c:tx>
          <c:marker>
            <c:symbol val="none"/>
          </c:marker>
          <c:cat>
            <c:numRef>
              <c:f>'Line Chart 2'!$A$4:$A$13</c:f>
              <c:numCache>
                <c:formatCode>General</c:formatCode>
                <c:ptCount val="10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</c:numCache>
            </c:numRef>
          </c:cat>
          <c:val>
            <c:numRef>
              <c:f>'Line Chart 2'!$B$4:$B$13</c:f>
              <c:numCache>
                <c:formatCode>General</c:formatCode>
                <c:ptCount val="10"/>
                <c:pt idx="0">
                  <c:v>23500</c:v>
                </c:pt>
                <c:pt idx="1">
                  <c:v>24000</c:v>
                </c:pt>
                <c:pt idx="2">
                  <c:v>25000</c:v>
                </c:pt>
                <c:pt idx="3">
                  <c:v>26700</c:v>
                </c:pt>
                <c:pt idx="4">
                  <c:v>27500</c:v>
                </c:pt>
                <c:pt idx="5">
                  <c:v>29200</c:v>
                </c:pt>
                <c:pt idx="6">
                  <c:v>33000</c:v>
                </c:pt>
                <c:pt idx="7">
                  <c:v>35100</c:v>
                </c:pt>
                <c:pt idx="8">
                  <c:v>37400</c:v>
                </c:pt>
                <c:pt idx="9">
                  <c:v>39500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'Line Chart 2'!$C$3</c:f>
              <c:strCache>
                <c:ptCount val="1"/>
                <c:pt idx="0">
                  <c:v>Rent</c:v>
                </c:pt>
              </c:strCache>
            </c:strRef>
          </c:tx>
          <c:marker>
            <c:symbol val="none"/>
          </c:marker>
          <c:cat>
            <c:numRef>
              <c:f>'Line Chart 2'!$A$4:$A$13</c:f>
              <c:numCache>
                <c:formatCode>General</c:formatCode>
                <c:ptCount val="10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</c:numCache>
            </c:numRef>
          </c:cat>
          <c:val>
            <c:numRef>
              <c:f>'Line Chart 2'!$C$4:$C$13</c:f>
              <c:numCache>
                <c:formatCode>General</c:formatCode>
                <c:ptCount val="10"/>
                <c:pt idx="0">
                  <c:v>6000</c:v>
                </c:pt>
                <c:pt idx="1">
                  <c:v>6500</c:v>
                </c:pt>
                <c:pt idx="2">
                  <c:v>7000</c:v>
                </c:pt>
                <c:pt idx="3">
                  <c:v>4500</c:v>
                </c:pt>
                <c:pt idx="4">
                  <c:v>6000</c:v>
                </c:pt>
                <c:pt idx="5">
                  <c:v>7500</c:v>
                </c:pt>
                <c:pt idx="6">
                  <c:v>8000</c:v>
                </c:pt>
                <c:pt idx="7">
                  <c:v>9000</c:v>
                </c:pt>
                <c:pt idx="8">
                  <c:v>7000</c:v>
                </c:pt>
                <c:pt idx="9">
                  <c:v>12000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305496"/>
        <c:axId val="684310592"/>
      </c:lineChart>
      <c:catAx>
        <c:axId val="684305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310592"/>
        <c:crosses val="autoZero"/>
        <c:auto val="1"/>
        <c:lblAlgn val="ctr"/>
        <c:lblOffset val="100"/>
        <c:noMultiLvlLbl val="0"/>
      </c:catAx>
      <c:valAx>
        <c:axId val="6843105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Amount ($000)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684305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Z-Scores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 1'!$B$107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'Normal 1'!$A$108:$A$133</c:f>
              <c:numCache>
                <c:formatCode>0.00</c:formatCode>
                <c:ptCount val="26"/>
                <c:pt idx="0">
                  <c:v>-3</c:v>
                </c:pt>
                <c:pt idx="1">
                  <c:v>-2.75</c:v>
                </c:pt>
                <c:pt idx="2">
                  <c:v>-2.5</c:v>
                </c:pt>
                <c:pt idx="3">
                  <c:v>-2.25</c:v>
                </c:pt>
                <c:pt idx="4">
                  <c:v>-2</c:v>
                </c:pt>
                <c:pt idx="5">
                  <c:v>-1.75</c:v>
                </c:pt>
                <c:pt idx="6">
                  <c:v>-1.5</c:v>
                </c:pt>
                <c:pt idx="7">
                  <c:v>-1.25</c:v>
                </c:pt>
                <c:pt idx="8">
                  <c:v>-1</c:v>
                </c:pt>
                <c:pt idx="9">
                  <c:v>-0.75</c:v>
                </c:pt>
                <c:pt idx="10">
                  <c:v>-0.5</c:v>
                </c:pt>
                <c:pt idx="11">
                  <c:v>-0.25</c:v>
                </c:pt>
                <c:pt idx="12">
                  <c:v>0</c:v>
                </c:pt>
                <c:pt idx="13">
                  <c:v>0.25</c:v>
                </c:pt>
                <c:pt idx="14">
                  <c:v>0.5</c:v>
                </c:pt>
                <c:pt idx="15">
                  <c:v>0.75</c:v>
                </c:pt>
                <c:pt idx="16">
                  <c:v>1</c:v>
                </c:pt>
                <c:pt idx="17">
                  <c:v>1.25</c:v>
                </c:pt>
                <c:pt idx="18">
                  <c:v>1.5</c:v>
                </c:pt>
                <c:pt idx="19">
                  <c:v>1.75</c:v>
                </c:pt>
                <c:pt idx="20">
                  <c:v>2</c:v>
                </c:pt>
                <c:pt idx="21">
                  <c:v>2.25</c:v>
                </c:pt>
                <c:pt idx="22">
                  <c:v>2.5</c:v>
                </c:pt>
                <c:pt idx="23">
                  <c:v>2.75</c:v>
                </c:pt>
                <c:pt idx="24">
                  <c:v>3</c:v>
                </c:pt>
                <c:pt idx="25">
                  <c:v>3.25</c:v>
                </c:pt>
              </c:numCache>
            </c:numRef>
          </c:cat>
          <c:val>
            <c:numRef>
              <c:f>'Normal 1'!$B$108:$B$133</c:f>
              <c:numCache>
                <c:formatCode>0.0000</c:formatCode>
                <c:ptCount val="26"/>
                <c:pt idx="0">
                  <c:v>4.4318484119380075E-3</c:v>
                </c:pt>
                <c:pt idx="1">
                  <c:v>9.0935625015910529E-3</c:v>
                </c:pt>
                <c:pt idx="2">
                  <c:v>1.752830049356854E-2</c:v>
                </c:pt>
                <c:pt idx="3">
                  <c:v>3.1739651835667418E-2</c:v>
                </c:pt>
                <c:pt idx="4">
                  <c:v>5.3990966513188063E-2</c:v>
                </c:pt>
                <c:pt idx="5">
                  <c:v>8.6277318826511532E-2</c:v>
                </c:pt>
                <c:pt idx="6">
                  <c:v>0.12951759566589174</c:v>
                </c:pt>
                <c:pt idx="7">
                  <c:v>0.18264908538902191</c:v>
                </c:pt>
                <c:pt idx="8">
                  <c:v>0.24197072451914337</c:v>
                </c:pt>
                <c:pt idx="9">
                  <c:v>0.30113743215480443</c:v>
                </c:pt>
                <c:pt idx="10">
                  <c:v>0.35206532676429952</c:v>
                </c:pt>
                <c:pt idx="11">
                  <c:v>0.38666811680284924</c:v>
                </c:pt>
                <c:pt idx="12">
                  <c:v>0.3989422804014327</c:v>
                </c:pt>
                <c:pt idx="13">
                  <c:v>0.38666811680284924</c:v>
                </c:pt>
                <c:pt idx="14">
                  <c:v>0.35206532676429952</c:v>
                </c:pt>
                <c:pt idx="15">
                  <c:v>0.30113743215480443</c:v>
                </c:pt>
                <c:pt idx="16">
                  <c:v>0.24197072451914337</c:v>
                </c:pt>
                <c:pt idx="17">
                  <c:v>0.18264908538902191</c:v>
                </c:pt>
                <c:pt idx="18">
                  <c:v>0.12951759566589174</c:v>
                </c:pt>
                <c:pt idx="19">
                  <c:v>8.6277318826511532E-2</c:v>
                </c:pt>
                <c:pt idx="20">
                  <c:v>5.3990966513188063E-2</c:v>
                </c:pt>
                <c:pt idx="21">
                  <c:v>3.1739651835667418E-2</c:v>
                </c:pt>
                <c:pt idx="22">
                  <c:v>1.752830049356854E-2</c:v>
                </c:pt>
                <c:pt idx="23">
                  <c:v>9.0935625015910529E-3</c:v>
                </c:pt>
                <c:pt idx="24">
                  <c:v>4.4318484119380075E-3</c:v>
                </c:pt>
                <c:pt idx="25">
                  <c:v>2.0290480572997681E-3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87464"/>
        <c:axId val="684291384"/>
      </c:lineChart>
      <c:catAx>
        <c:axId val="684287464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crossAx val="684291384"/>
        <c:crosses val="autoZero"/>
        <c:auto val="1"/>
        <c:lblAlgn val="ctr"/>
        <c:lblOffset val="100"/>
        <c:noMultiLvlLbl val="0"/>
      </c:catAx>
      <c:valAx>
        <c:axId val="684291384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684287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IQ of Populations P1 and P2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 1'!$B$139</c:f>
              <c:strCache>
                <c:ptCount val="1"/>
                <c:pt idx="0">
                  <c:v>P1</c:v>
                </c:pt>
              </c:strCache>
            </c:strRef>
          </c:tx>
          <c:marker>
            <c:symbol val="none"/>
          </c:marker>
          <c:cat>
            <c:numRef>
              <c:f>'Normal 1'!$A$140:$A$172</c:f>
              <c:numCache>
                <c:formatCode>General</c:formatCode>
                <c:ptCount val="33"/>
                <c:pt idx="0">
                  <c:v>52</c:v>
                </c:pt>
                <c:pt idx="1">
                  <c:v>56</c:v>
                </c:pt>
                <c:pt idx="2">
                  <c:v>60</c:v>
                </c:pt>
                <c:pt idx="3">
                  <c:v>64</c:v>
                </c:pt>
                <c:pt idx="4">
                  <c:v>68</c:v>
                </c:pt>
                <c:pt idx="5">
                  <c:v>72</c:v>
                </c:pt>
                <c:pt idx="6">
                  <c:v>76</c:v>
                </c:pt>
                <c:pt idx="7">
                  <c:v>80</c:v>
                </c:pt>
                <c:pt idx="8">
                  <c:v>84</c:v>
                </c:pt>
                <c:pt idx="9">
                  <c:v>88</c:v>
                </c:pt>
                <c:pt idx="10">
                  <c:v>92</c:v>
                </c:pt>
                <c:pt idx="11">
                  <c:v>96</c:v>
                </c:pt>
                <c:pt idx="12">
                  <c:v>100</c:v>
                </c:pt>
                <c:pt idx="13">
                  <c:v>104</c:v>
                </c:pt>
                <c:pt idx="14">
                  <c:v>108</c:v>
                </c:pt>
                <c:pt idx="15">
                  <c:v>112</c:v>
                </c:pt>
                <c:pt idx="16">
                  <c:v>116</c:v>
                </c:pt>
                <c:pt idx="17">
                  <c:v>120</c:v>
                </c:pt>
                <c:pt idx="18">
                  <c:v>124</c:v>
                </c:pt>
                <c:pt idx="19">
                  <c:v>128</c:v>
                </c:pt>
                <c:pt idx="20">
                  <c:v>132</c:v>
                </c:pt>
                <c:pt idx="21">
                  <c:v>136</c:v>
                </c:pt>
                <c:pt idx="22">
                  <c:v>140</c:v>
                </c:pt>
                <c:pt idx="23">
                  <c:v>144</c:v>
                </c:pt>
                <c:pt idx="24">
                  <c:v>148</c:v>
                </c:pt>
                <c:pt idx="25">
                  <c:v>152</c:v>
                </c:pt>
                <c:pt idx="26">
                  <c:v>156</c:v>
                </c:pt>
                <c:pt idx="27">
                  <c:v>160</c:v>
                </c:pt>
                <c:pt idx="28">
                  <c:v>164</c:v>
                </c:pt>
                <c:pt idx="29">
                  <c:v>168</c:v>
                </c:pt>
                <c:pt idx="30">
                  <c:v>172</c:v>
                </c:pt>
                <c:pt idx="31">
                  <c:v>176</c:v>
                </c:pt>
                <c:pt idx="32">
                  <c:v>180</c:v>
                </c:pt>
              </c:numCache>
            </c:numRef>
          </c:cat>
          <c:val>
            <c:numRef>
              <c:f>'Normal 1'!$B$140:$B$172</c:f>
              <c:numCache>
                <c:formatCode>0.0000</c:formatCode>
                <c:ptCount val="33"/>
                <c:pt idx="0">
                  <c:v>2.7699052574612547E-4</c:v>
                </c:pt>
                <c:pt idx="1">
                  <c:v>5.6834765634944081E-4</c:v>
                </c:pt>
                <c:pt idx="2">
                  <c:v>1.0955187808480338E-3</c:v>
                </c:pt>
                <c:pt idx="3">
                  <c:v>1.9837282397292136E-3</c:v>
                </c:pt>
                <c:pt idx="4">
                  <c:v>3.3744354070742539E-3</c:v>
                </c:pt>
                <c:pt idx="5">
                  <c:v>5.3923324266569707E-3</c:v>
                </c:pt>
                <c:pt idx="6">
                  <c:v>8.094849729118234E-3</c:v>
                </c:pt>
                <c:pt idx="7">
                  <c:v>1.141556783681387E-2</c:v>
                </c:pt>
                <c:pt idx="8">
                  <c:v>1.512317028244646E-2</c:v>
                </c:pt>
                <c:pt idx="9">
                  <c:v>1.8821089509675277E-2</c:v>
                </c:pt>
                <c:pt idx="10">
                  <c:v>2.200408292276872E-2</c:v>
                </c:pt>
                <c:pt idx="11">
                  <c:v>2.4166757300178077E-2</c:v>
                </c:pt>
                <c:pt idx="12">
                  <c:v>2.4933892525089544E-2</c:v>
                </c:pt>
                <c:pt idx="13">
                  <c:v>2.4166757300178077E-2</c:v>
                </c:pt>
                <c:pt idx="14">
                  <c:v>2.200408292276872E-2</c:v>
                </c:pt>
                <c:pt idx="15">
                  <c:v>1.8821089509675277E-2</c:v>
                </c:pt>
                <c:pt idx="16">
                  <c:v>1.512317028244646E-2</c:v>
                </c:pt>
                <c:pt idx="17">
                  <c:v>1.141556783681387E-2</c:v>
                </c:pt>
                <c:pt idx="18">
                  <c:v>8.094849729118234E-3</c:v>
                </c:pt>
                <c:pt idx="19">
                  <c:v>5.3923324266569707E-3</c:v>
                </c:pt>
                <c:pt idx="20">
                  <c:v>3.3744354070742539E-3</c:v>
                </c:pt>
                <c:pt idx="21">
                  <c:v>1.9837282397292136E-3</c:v>
                </c:pt>
                <c:pt idx="22">
                  <c:v>1.0955187808480338E-3</c:v>
                </c:pt>
                <c:pt idx="23">
                  <c:v>5.6834765634944081E-4</c:v>
                </c:pt>
                <c:pt idx="24">
                  <c:v>2.7699052574612547E-4</c:v>
                </c:pt>
                <c:pt idx="25">
                  <c:v>1.2681550358123551E-4</c:v>
                </c:pt>
                <c:pt idx="26">
                  <c:v>5.454266844036001E-5</c:v>
                </c:pt>
                <c:pt idx="27">
                  <c:v>2.2037230147965338E-5</c:v>
                </c:pt>
                <c:pt idx="28">
                  <c:v>8.3643891103053355E-6</c:v>
                </c:pt>
                <c:pt idx="29">
                  <c:v>2.9824147838253095E-6</c:v>
                </c:pt>
                <c:pt idx="30">
                  <c:v>9.9898381918159216E-7</c:v>
                </c:pt>
                <c:pt idx="31">
                  <c:v>3.1434420553702784E-7</c:v>
                </c:pt>
                <c:pt idx="32">
                  <c:v>9.2919969670893605E-8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'Normal 1'!$C$139</c:f>
              <c:strCache>
                <c:ptCount val="1"/>
                <c:pt idx="0">
                  <c:v>P2</c:v>
                </c:pt>
              </c:strCache>
            </c:strRef>
          </c:tx>
          <c:marker>
            <c:symbol val="none"/>
          </c:marker>
          <c:cat>
            <c:numRef>
              <c:f>'Normal 1'!$A$140:$A$172</c:f>
              <c:numCache>
                <c:formatCode>General</c:formatCode>
                <c:ptCount val="33"/>
                <c:pt idx="0">
                  <c:v>52</c:v>
                </c:pt>
                <c:pt idx="1">
                  <c:v>56</c:v>
                </c:pt>
                <c:pt idx="2">
                  <c:v>60</c:v>
                </c:pt>
                <c:pt idx="3">
                  <c:v>64</c:v>
                </c:pt>
                <c:pt idx="4">
                  <c:v>68</c:v>
                </c:pt>
                <c:pt idx="5">
                  <c:v>72</c:v>
                </c:pt>
                <c:pt idx="6">
                  <c:v>76</c:v>
                </c:pt>
                <c:pt idx="7">
                  <c:v>80</c:v>
                </c:pt>
                <c:pt idx="8">
                  <c:v>84</c:v>
                </c:pt>
                <c:pt idx="9">
                  <c:v>88</c:v>
                </c:pt>
                <c:pt idx="10">
                  <c:v>92</c:v>
                </c:pt>
                <c:pt idx="11">
                  <c:v>96</c:v>
                </c:pt>
                <c:pt idx="12">
                  <c:v>100</c:v>
                </c:pt>
                <c:pt idx="13">
                  <c:v>104</c:v>
                </c:pt>
                <c:pt idx="14">
                  <c:v>108</c:v>
                </c:pt>
                <c:pt idx="15">
                  <c:v>112</c:v>
                </c:pt>
                <c:pt idx="16">
                  <c:v>116</c:v>
                </c:pt>
                <c:pt idx="17">
                  <c:v>120</c:v>
                </c:pt>
                <c:pt idx="18">
                  <c:v>124</c:v>
                </c:pt>
                <c:pt idx="19">
                  <c:v>128</c:v>
                </c:pt>
                <c:pt idx="20">
                  <c:v>132</c:v>
                </c:pt>
                <c:pt idx="21">
                  <c:v>136</c:v>
                </c:pt>
                <c:pt idx="22">
                  <c:v>140</c:v>
                </c:pt>
                <c:pt idx="23">
                  <c:v>144</c:v>
                </c:pt>
                <c:pt idx="24">
                  <c:v>148</c:v>
                </c:pt>
                <c:pt idx="25">
                  <c:v>152</c:v>
                </c:pt>
                <c:pt idx="26">
                  <c:v>156</c:v>
                </c:pt>
                <c:pt idx="27">
                  <c:v>160</c:v>
                </c:pt>
                <c:pt idx="28">
                  <c:v>164</c:v>
                </c:pt>
                <c:pt idx="29">
                  <c:v>168</c:v>
                </c:pt>
                <c:pt idx="30">
                  <c:v>172</c:v>
                </c:pt>
                <c:pt idx="31">
                  <c:v>176</c:v>
                </c:pt>
                <c:pt idx="32">
                  <c:v>180</c:v>
                </c:pt>
              </c:numCache>
            </c:numRef>
          </c:cat>
          <c:val>
            <c:numRef>
              <c:f>'Normal 1'!$C$140:$C$172</c:f>
              <c:numCache>
                <c:formatCode>0.0000</c:formatCode>
                <c:ptCount val="33"/>
                <c:pt idx="0">
                  <c:v>8.3643891103053355E-6</c:v>
                </c:pt>
                <c:pt idx="1">
                  <c:v>2.2037230147965338E-5</c:v>
                </c:pt>
                <c:pt idx="2">
                  <c:v>5.454266844036001E-5</c:v>
                </c:pt>
                <c:pt idx="3">
                  <c:v>1.2681550358123551E-4</c:v>
                </c:pt>
                <c:pt idx="4">
                  <c:v>2.7699052574612547E-4</c:v>
                </c:pt>
                <c:pt idx="5">
                  <c:v>5.6834765634944081E-4</c:v>
                </c:pt>
                <c:pt idx="6">
                  <c:v>1.0955187808480338E-3</c:v>
                </c:pt>
                <c:pt idx="7">
                  <c:v>1.9837282397292136E-3</c:v>
                </c:pt>
                <c:pt idx="8">
                  <c:v>3.3744354070742539E-3</c:v>
                </c:pt>
                <c:pt idx="9">
                  <c:v>5.3923324266569707E-3</c:v>
                </c:pt>
                <c:pt idx="10">
                  <c:v>8.094849729118234E-3</c:v>
                </c:pt>
                <c:pt idx="11">
                  <c:v>1.141556783681387E-2</c:v>
                </c:pt>
                <c:pt idx="12">
                  <c:v>1.512317028244646E-2</c:v>
                </c:pt>
                <c:pt idx="13">
                  <c:v>1.8821089509675277E-2</c:v>
                </c:pt>
                <c:pt idx="14">
                  <c:v>2.200408292276872E-2</c:v>
                </c:pt>
                <c:pt idx="15">
                  <c:v>2.4166757300178077E-2</c:v>
                </c:pt>
                <c:pt idx="16">
                  <c:v>2.4933892525089544E-2</c:v>
                </c:pt>
                <c:pt idx="17">
                  <c:v>2.4166757300178077E-2</c:v>
                </c:pt>
                <c:pt idx="18">
                  <c:v>2.200408292276872E-2</c:v>
                </c:pt>
                <c:pt idx="19">
                  <c:v>1.8821089509675277E-2</c:v>
                </c:pt>
                <c:pt idx="20">
                  <c:v>1.512317028244646E-2</c:v>
                </c:pt>
                <c:pt idx="21">
                  <c:v>1.141556783681387E-2</c:v>
                </c:pt>
                <c:pt idx="22">
                  <c:v>8.094849729118234E-3</c:v>
                </c:pt>
                <c:pt idx="23">
                  <c:v>5.3923324266569707E-3</c:v>
                </c:pt>
                <c:pt idx="24">
                  <c:v>3.3744354070742539E-3</c:v>
                </c:pt>
                <c:pt idx="25">
                  <c:v>1.9837282397292136E-3</c:v>
                </c:pt>
                <c:pt idx="26">
                  <c:v>1.0955187808480338E-3</c:v>
                </c:pt>
                <c:pt idx="27">
                  <c:v>5.6834765634944081E-4</c:v>
                </c:pt>
                <c:pt idx="28">
                  <c:v>2.7699052574612547E-4</c:v>
                </c:pt>
                <c:pt idx="29">
                  <c:v>1.2681550358123551E-4</c:v>
                </c:pt>
                <c:pt idx="30">
                  <c:v>5.454266844036001E-5</c:v>
                </c:pt>
                <c:pt idx="31">
                  <c:v>2.2037230147965338E-5</c:v>
                </c:pt>
                <c:pt idx="32">
                  <c:v>8.3643891103053355E-6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87072"/>
        <c:axId val="684290208"/>
      </c:lineChart>
      <c:catAx>
        <c:axId val="684287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0208"/>
        <c:crosses val="autoZero"/>
        <c:auto val="1"/>
        <c:lblAlgn val="ctr"/>
        <c:lblOffset val="100"/>
        <c:tickLblSkip val="3"/>
        <c:noMultiLvlLbl val="0"/>
      </c:catAx>
      <c:valAx>
        <c:axId val="684290208"/>
        <c:scaling>
          <c:orientation val="minMax"/>
        </c:scaling>
        <c:delete val="0"/>
        <c:axPos val="l"/>
        <c:majorGridlines/>
        <c:numFmt formatCode="0.000" sourceLinked="0"/>
        <c:majorTickMark val="out"/>
        <c:minorTickMark val="none"/>
        <c:tickLblPos val="nextTo"/>
        <c:crossAx val="684287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Log-normal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Stdev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'Log-Norm 1'!$A$7:$A$156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1'!$B$7:$B$156</c:f>
              <c:numCache>
                <c:formatCode>0.0000</c:formatCode>
                <c:ptCount val="150"/>
                <c:pt idx="0">
                  <c:v>9.4770942323456845E-3</c:v>
                </c:pt>
                <c:pt idx="1">
                  <c:v>5.6098651941979008E-2</c:v>
                </c:pt>
                <c:pt idx="2">
                  <c:v>0.12705086676108004</c:v>
                </c:pt>
                <c:pt idx="3">
                  <c:v>0.20538634140584103</c:v>
                </c:pt>
                <c:pt idx="4">
                  <c:v>0.28159018901526828</c:v>
                </c:pt>
                <c:pt idx="5">
                  <c:v>0.3511879500945787</c:v>
                </c:pt>
                <c:pt idx="6">
                  <c:v>0.4124560770196698</c:v>
                </c:pt>
                <c:pt idx="7">
                  <c:v>0.46508528570535723</c:v>
                </c:pt>
                <c:pt idx="8">
                  <c:v>0.50945847576765035</c:v>
                </c:pt>
                <c:pt idx="9">
                  <c:v>0.54626787075817995</c:v>
                </c:pt>
                <c:pt idx="10">
                  <c:v>0.57631424896619887</c:v>
                </c:pt>
                <c:pt idx="11">
                  <c:v>0.60040387582896459</c:v>
                </c:pt>
                <c:pt idx="12">
                  <c:v>0.61929806733927673</c:v>
                </c:pt>
                <c:pt idx="13">
                  <c:v>0.63369110251016258</c:v>
                </c:pt>
                <c:pt idx="14">
                  <c:v>0.64420325735919959</c:v>
                </c:pt>
                <c:pt idx="15">
                  <c:v>0.65138169153415948</c:v>
                </c:pt>
                <c:pt idx="16">
                  <c:v>0.65570517817849605</c:v>
                </c:pt>
                <c:pt idx="17">
                  <c:v>0.65759047392786507</c:v>
                </c:pt>
                <c:pt idx="18">
                  <c:v>0.65739913674932837</c:v>
                </c:pt>
                <c:pt idx="19">
                  <c:v>0.65544416806031136</c:v>
                </c:pt>
                <c:pt idx="20">
                  <c:v>0.65199617542585231</c:v>
                </c:pt>
                <c:pt idx="21">
                  <c:v>0.647288930525038</c:v>
                </c:pt>
                <c:pt idx="22">
                  <c:v>0.64152429455280824</c:v>
                </c:pt>
                <c:pt idx="23">
                  <c:v>0.63487653433747093</c:v>
                </c:pt>
                <c:pt idx="24">
                  <c:v>0.62749607711592414</c:v>
                </c:pt>
                <c:pt idx="25">
                  <c:v>0.61951276166259928</c:v>
                </c:pt>
                <c:pt idx="26">
                  <c:v>0.61103864502950533</c:v>
                </c:pt>
                <c:pt idx="27">
                  <c:v>0.60217042142366572</c:v>
                </c:pt>
                <c:pt idx="28">
                  <c:v>0.59299150497357256</c:v>
                </c:pt>
                <c:pt idx="29">
                  <c:v>0.58357382259450385</c:v>
                </c:pt>
                <c:pt idx="30">
                  <c:v>0.5739793575571176</c:v>
                </c:pt>
                <c:pt idx="31">
                  <c:v>0.5642614790619036</c:v>
                </c:pt>
                <c:pt idx="32">
                  <c:v>0.55446608829575894</c:v>
                </c:pt>
                <c:pt idx="33">
                  <c:v>0.54463260715663153</c:v>
                </c:pt>
                <c:pt idx="34">
                  <c:v>0.53479483207691969</c:v>
                </c:pt>
                <c:pt idx="35">
                  <c:v>0.52498167212330105</c:v>
                </c:pt>
                <c:pt idx="36">
                  <c:v>0.51521778775245919</c:v>
                </c:pt>
                <c:pt idx="37">
                  <c:v>0.5055241442065842</c:v>
                </c:pt>
                <c:pt idx="38">
                  <c:v>0.49591849148807721</c:v>
                </c:pt>
                <c:pt idx="39">
                  <c:v>0.48641578111155326</c:v>
                </c:pt>
                <c:pt idx="40">
                  <c:v>0.47702852834978932</c:v>
                </c:pt>
                <c:pt idx="41">
                  <c:v>0.46776712743054721</c:v>
                </c:pt>
                <c:pt idx="42">
                  <c:v>0.45864012607005178</c:v>
                </c:pt>
                <c:pt idx="43">
                  <c:v>0.44965446481780924</c:v>
                </c:pt>
                <c:pt idx="44">
                  <c:v>0.44081568591202647</c:v>
                </c:pt>
                <c:pt idx="45">
                  <c:v>0.43212811568437776</c:v>
                </c:pt>
                <c:pt idx="46">
                  <c:v>0.42359502398971699</c:v>
                </c:pt>
                <c:pt idx="47">
                  <c:v>0.41521876365564458</c:v>
                </c:pt>
                <c:pt idx="48">
                  <c:v>0.40700089253606886</c:v>
                </c:pt>
                <c:pt idx="49">
                  <c:v>0.39894228040143248</c:v>
                </c:pt>
                <c:pt idx="50">
                  <c:v>0.39104320259716036</c:v>
                </c:pt>
                <c:pt idx="51">
                  <c:v>0.38330342214356733</c:v>
                </c:pt>
                <c:pt idx="52">
                  <c:v>0.37572226172856404</c:v>
                </c:pt>
                <c:pt idx="53">
                  <c:v>0.36829866685362095</c:v>
                </c:pt>
                <c:pt idx="54">
                  <c:v>0.36103126122903978</c:v>
                </c:pt>
                <c:pt idx="55">
                  <c:v>0.35391839537277092</c:v>
                </c:pt>
                <c:pt idx="56">
                  <c:v>0.34695818924453914</c:v>
                </c:pt>
                <c:pt idx="57">
                  <c:v>0.34014856964112228</c:v>
                </c:pt>
                <c:pt idx="58">
                  <c:v>0.33348730298689805</c:v>
                </c:pt>
                <c:pt idx="59">
                  <c:v>0.32697202407425546</c:v>
                </c:pt>
                <c:pt idx="60">
                  <c:v>0.32060026123941365</c:v>
                </c:pt>
                <c:pt idx="61">
                  <c:v>0.31436945839917957</c:v>
                </c:pt>
                <c:pt idx="62">
                  <c:v>0.30827699432194067</c:v>
                </c:pt>
                <c:pt idx="63">
                  <c:v>0.30232019946068156</c:v>
                </c:pt>
                <c:pt idx="64">
                  <c:v>0.29649637063610468</c:v>
                </c:pt>
                <c:pt idx="65">
                  <c:v>0.29080278382326802</c:v>
                </c:pt>
                <c:pt idx="66">
                  <c:v>0.28523670526483391</c:v>
                </c:pt>
                <c:pt idx="67">
                  <c:v>0.27979540110749429</c:v>
                </c:pt>
                <c:pt idx="68">
                  <c:v>0.27447614573488716</c:v>
                </c:pt>
                <c:pt idx="69">
                  <c:v>0.26927622894993247</c:v>
                </c:pt>
                <c:pt idx="70">
                  <c:v>0.26419296214161814</c:v>
                </c:pt>
                <c:pt idx="71">
                  <c:v>0.2592236835555356</c:v>
                </c:pt>
                <c:pt idx="72">
                  <c:v>0.25436576277363132</c:v>
                </c:pt>
                <c:pt idx="73">
                  <c:v>0.24961660449646175</c:v>
                </c:pt>
                <c:pt idx="74">
                  <c:v>0.24497365171050969</c:v>
                </c:pt>
                <c:pt idx="75">
                  <c:v>0.24043438831365246</c:v>
                </c:pt>
                <c:pt idx="76">
                  <c:v>0.23599634126352706</c:v>
                </c:pt>
                <c:pt idx="77">
                  <c:v>0.23165708230615681</c:v>
                </c:pt>
                <c:pt idx="78">
                  <c:v>0.2274142293356855</c:v>
                </c:pt>
                <c:pt idx="79">
                  <c:v>0.22326544743029889</c:v>
                </c:pt>
                <c:pt idx="80">
                  <c:v>0.21920844960430741</c:v>
                </c:pt>
                <c:pt idx="81">
                  <c:v>0.2152409973118469</c:v>
                </c:pt>
                <c:pt idx="82">
                  <c:v>0.211360900733641</c:v>
                </c:pt>
                <c:pt idx="83">
                  <c:v>0.20756601887472509</c:v>
                </c:pt>
                <c:pt idx="84">
                  <c:v>0.20385425949787128</c:v>
                </c:pt>
                <c:pt idx="85">
                  <c:v>0.20022357891466089</c:v>
                </c:pt>
                <c:pt idx="86">
                  <c:v>0.1966719816536647</c:v>
                </c:pt>
                <c:pt idx="87">
                  <c:v>0.19319752002298141</c:v>
                </c:pt>
                <c:pt idx="88">
                  <c:v>0.18979829358242553</c:v>
                </c:pt>
                <c:pt idx="89">
                  <c:v>0.18647244853890801</c:v>
                </c:pt>
                <c:pt idx="90">
                  <c:v>0.18321817707699864</c:v>
                </c:pt>
                <c:pt idx="91">
                  <c:v>0.18003371663528592</c:v>
                </c:pt>
                <c:pt idx="92">
                  <c:v>0.17691734913790924</c:v>
                </c:pt>
                <c:pt idx="93">
                  <c:v>0.17386740018955324</c:v>
                </c:pt>
                <c:pt idx="94">
                  <c:v>0.17088223824121515</c:v>
                </c:pt>
                <c:pt idx="95">
                  <c:v>0.16796027373318798</c:v>
                </c:pt>
                <c:pt idx="96">
                  <c:v>0.16509995822093201</c:v>
                </c:pt>
                <c:pt idx="97">
                  <c:v>0.16229978348881668</c:v>
                </c:pt>
                <c:pt idx="98">
                  <c:v>0.15955828065610134</c:v>
                </c:pt>
                <c:pt idx="99">
                  <c:v>0.15687401927898098</c:v>
                </c:pt>
                <c:pt idx="100">
                  <c:v>0.15424560645203197</c:v>
                </c:pt>
                <c:pt idx="101">
                  <c:v>0.15167168591196536</c:v>
                </c:pt>
                <c:pt idx="102">
                  <c:v>0.14915093714620381</c:v>
                </c:pt>
                <c:pt idx="103">
                  <c:v>0.14668207450846313</c:v>
                </c:pt>
                <c:pt idx="104">
                  <c:v>0.14426384634320799</c:v>
                </c:pt>
                <c:pt idx="105">
                  <c:v>0.14189503412058335</c:v>
                </c:pt>
                <c:pt idx="106">
                  <c:v>0.13957445158318357</c:v>
                </c:pt>
                <c:pt idx="107">
                  <c:v>0.13730094390580436</c:v>
                </c:pt>
                <c:pt idx="108">
                  <c:v>0.13507338686913622</c:v>
                </c:pt>
                <c:pt idx="109">
                  <c:v>0.13289068604818724</c:v>
                </c:pt>
                <c:pt idx="110">
                  <c:v>0.13075177601607813</c:v>
                </c:pt>
                <c:pt idx="111">
                  <c:v>0.12865561956371538</c:v>
                </c:pt>
                <c:pt idx="112">
                  <c:v>0.12660120693573856</c:v>
                </c:pt>
                <c:pt idx="113">
                  <c:v>0.1245875550830301</c:v>
                </c:pt>
                <c:pt idx="114">
                  <c:v>0.12261370693198832</c:v>
                </c:pt>
                <c:pt idx="115">
                  <c:v>0.12067873067068635</c:v>
                </c:pt>
                <c:pt idx="116">
                  <c:v>0.11878171905196674</c:v>
                </c:pt>
                <c:pt idx="117">
                  <c:v>0.11692178871346433</c:v>
                </c:pt>
                <c:pt idx="118">
                  <c:v>0.11509807951449595</c:v>
                </c:pt>
                <c:pt idx="119">
                  <c:v>0.11330975388970903</c:v>
                </c:pt>
                <c:pt idx="120">
                  <c:v>0.11155599621934263</c:v>
                </c:pt>
                <c:pt idx="121">
                  <c:v>0.10983601221591981</c:v>
                </c:pt>
                <c:pt idx="122">
                  <c:v>0.10814902832716188</c:v>
                </c:pt>
                <c:pt idx="123">
                  <c:v>0.10649429115488838</c:v>
                </c:pt>
                <c:pt idx="124">
                  <c:v>0.1048710668896497</c:v>
                </c:pt>
                <c:pt idx="125">
                  <c:v>0.10327864076081664</c:v>
                </c:pt>
                <c:pt idx="126">
                  <c:v>0.10171631650184215</c:v>
                </c:pt>
                <c:pt idx="127">
                  <c:v>0.10018341583039554</c:v>
                </c:pt>
                <c:pt idx="128">
                  <c:v>9.8679277943062096E-2</c:v>
                </c:pt>
                <c:pt idx="129">
                  <c:v>9.7203259024292776E-2</c:v>
                </c:pt>
                <c:pt idx="130">
                  <c:v>9.5754731769285298E-2</c:v>
                </c:pt>
                <c:pt idx="131">
                  <c:v>9.4333084920473612E-2</c:v>
                </c:pt>
                <c:pt idx="132">
                  <c:v>9.2937722817300117E-2</c:v>
                </c:pt>
                <c:pt idx="133">
                  <c:v>9.1568064958946524E-2</c:v>
                </c:pt>
                <c:pt idx="134">
                  <c:v>9.0223545579696432E-2</c:v>
                </c:pt>
                <c:pt idx="135">
                  <c:v>8.8903613236608697E-2</c:v>
                </c:pt>
                <c:pt idx="136">
                  <c:v>8.7607730409178727E-2</c:v>
                </c:pt>
                <c:pt idx="137">
                  <c:v>8.6335373110670272E-2</c:v>
                </c:pt>
                <c:pt idx="138">
                  <c:v>8.5086030510803198E-2</c:v>
                </c:pt>
                <c:pt idx="139">
                  <c:v>8.3859204569487575E-2</c:v>
                </c:pt>
                <c:pt idx="140">
                  <c:v>8.2654409681298821E-2</c:v>
                </c:pt>
                <c:pt idx="141">
                  <c:v>8.1471172330392444E-2</c:v>
                </c:pt>
                <c:pt idx="142">
                  <c:v>8.0309030755565697E-2</c:v>
                </c:pt>
                <c:pt idx="143">
                  <c:v>7.9167534625174937E-2</c:v>
                </c:pt>
                <c:pt idx="144">
                  <c:v>7.8046244721626482E-2</c:v>
                </c:pt>
                <c:pt idx="145">
                  <c:v>7.6944732635163451E-2</c:v>
                </c:pt>
                <c:pt idx="146">
                  <c:v>7.5862580466677376E-2</c:v>
                </c:pt>
                <c:pt idx="147">
                  <c:v>7.4799380539280258E-2</c:v>
                </c:pt>
                <c:pt idx="148">
                  <c:v>7.3754735118378448E-2</c:v>
                </c:pt>
                <c:pt idx="149">
                  <c:v>7.272825613999459E-2</c:v>
                </c:pt>
              </c:numCache>
            </c:numRef>
          </c:val>
          <c:smooth val="0"/>
        </c:ser>
        <c:ser>
          <c:idx val="1"/>
          <c:order val="1"/>
          <c:tx>
            <c:v>Stdev .5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'Log-Norm 1'!$A$7:$A$156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1'!$C$7:$C$156</c:f>
              <c:numCache>
                <c:formatCode>0.0000</c:formatCode>
                <c:ptCount val="150"/>
                <c:pt idx="0">
                  <c:v>2.0327809439919852E-12</c:v>
                </c:pt>
                <c:pt idx="1">
                  <c:v>1.9965926733175666E-8</c:v>
                </c:pt>
                <c:pt idx="2">
                  <c:v>1.7728176964408489E-6</c:v>
                </c:pt>
                <c:pt idx="3">
                  <c:v>2.8698288311403975E-5</c:v>
                </c:pt>
                <c:pt idx="4">
                  <c:v>1.9804773299183633E-4</c:v>
                </c:pt>
                <c:pt idx="5">
                  <c:v>8.2794590128648898E-4</c:v>
                </c:pt>
                <c:pt idx="6">
                  <c:v>2.5014667372129174E-3</c:v>
                </c:pt>
                <c:pt idx="7">
                  <c:v>6.0365686580179292E-3</c:v>
                </c:pt>
                <c:pt idx="8">
                  <c:v>1.2375207258254091E-2</c:v>
                </c:pt>
                <c:pt idx="9">
                  <c:v>2.2439460776791577E-2</c:v>
                </c:pt>
                <c:pt idx="10">
                  <c:v>3.7000302102007512E-2</c:v>
                </c:pt>
                <c:pt idx="11">
                  <c:v>5.6585801503254075E-2</c:v>
                </c:pt>
                <c:pt idx="12">
                  <c:v>8.1436432632297537E-2</c:v>
                </c:pt>
                <c:pt idx="13">
                  <c:v>0.11150242934995283</c:v>
                </c:pt>
                <c:pt idx="14">
                  <c:v>0.14647220793767599</c:v>
                </c:pt>
                <c:pt idx="15">
                  <c:v>0.18581977235254854</c:v>
                </c:pt>
                <c:pt idx="16">
                  <c:v>0.22886058448193725</c:v>
                </c:pt>
                <c:pt idx="17">
                  <c:v>0.27480798864936479</c:v>
                </c:pt>
                <c:pt idx="18">
                  <c:v>0.32282496000610894</c:v>
                </c:pt>
                <c:pt idx="19">
                  <c:v>0.37206822856428612</c:v>
                </c:pt>
                <c:pt idx="20">
                  <c:v>0.42172355823422181</c:v>
                </c:pt>
                <c:pt idx="21">
                  <c:v>0.4710321471470727</c:v>
                </c:pt>
                <c:pt idx="22">
                  <c:v>0.5193088505804011</c:v>
                </c:pt>
                <c:pt idx="23">
                  <c:v>0.56595332010072097</c:v>
                </c:pt>
                <c:pt idx="24">
                  <c:v>0.61045530419018312</c:v>
                </c:pt>
                <c:pt idx="25">
                  <c:v>0.65239535065358389</c:v>
                </c:pt>
                <c:pt idx="26">
                  <c:v>0.69144205322084518</c:v>
                </c:pt>
                <c:pt idx="27">
                  <c:v>0.7273468393046123</c:v>
                </c:pt>
                <c:pt idx="28">
                  <c:v>0.75993713324902312</c:v>
                </c:pt>
                <c:pt idx="29">
                  <c:v>0.78910856871343826</c:v>
                </c:pt>
                <c:pt idx="30">
                  <c:v>0.81481677605839054</c:v>
                </c:pt>
                <c:pt idx="31">
                  <c:v>0.83706914117437314</c:v>
                </c:pt>
                <c:pt idx="32">
                  <c:v>0.85591682293990412</c:v>
                </c:pt>
                <c:pt idx="33">
                  <c:v>0.87144722702401534</c:v>
                </c:pt>
                <c:pt idx="34">
                  <c:v>0.88377706242829857</c:v>
                </c:pt>
                <c:pt idx="35">
                  <c:v>0.89304605176735719</c:v>
                </c:pt>
                <c:pt idx="36">
                  <c:v>0.89941132440220872</c:v>
                </c:pt>
                <c:pt idx="37">
                  <c:v>0.90304249082011812</c:v>
                </c:pt>
                <c:pt idx="38">
                  <c:v>0.90411737494708933</c:v>
                </c:pt>
                <c:pt idx="39">
                  <c:v>0.9028183664990459</c:v>
                </c:pt>
                <c:pt idx="40">
                  <c:v>0.89932934641845674</c:v>
                </c:pt>
                <c:pt idx="41">
                  <c:v>0.89383313357018956</c:v>
                </c:pt>
                <c:pt idx="42">
                  <c:v>0.88650939909688498</c:v>
                </c:pt>
                <c:pt idx="43">
                  <c:v>0.87753299529082218</c:v>
                </c:pt>
                <c:pt idx="44">
                  <c:v>0.8670726478423405</c:v>
                </c:pt>
                <c:pt idx="45">
                  <c:v>0.85528996334534158</c:v>
                </c:pt>
                <c:pt idx="46">
                  <c:v>0.84233870757601093</c:v>
                </c:pt>
                <c:pt idx="47">
                  <c:v>0.82836431401158517</c:v>
                </c:pt>
                <c:pt idx="48">
                  <c:v>0.81350358610294504</c:v>
                </c:pt>
                <c:pt idx="49">
                  <c:v>0.79788456080286496</c:v>
                </c:pt>
                <c:pt idx="50">
                  <c:v>0.78162650467498929</c:v>
                </c:pt>
                <c:pt idx="51">
                  <c:v>0.76484001749867137</c:v>
                </c:pt>
                <c:pt idx="52">
                  <c:v>0.74762722160148509</c:v>
                </c:pt>
                <c:pt idx="53">
                  <c:v>0.73008201817510721</c:v>
                </c:pt>
                <c:pt idx="54">
                  <c:v>0.71229039455688448</c:v>
                </c:pt>
                <c:pt idx="55">
                  <c:v>0.69433076889477607</c:v>
                </c:pt>
                <c:pt idx="56">
                  <c:v>0.67627436077059278</c:v>
                </c:pt>
                <c:pt idx="57">
                  <c:v>0.65818557825307511</c:v>
                </c:pt>
                <c:pt idx="58">
                  <c:v>0.64012241350848698</c:v>
                </c:pt>
                <c:pt idx="59">
                  <c:v>0.62213684053328533</c:v>
                </c:pt>
                <c:pt idx="60">
                  <c:v>0.60427520981247096</c:v>
                </c:pt>
                <c:pt idx="61">
                  <c:v>0.58657863576927505</c:v>
                </c:pt>
                <c:pt idx="62">
                  <c:v>0.56908337377673079</c:v>
                </c:pt>
                <c:pt idx="63">
                  <c:v>0.55182118426796889</c:v>
                </c:pt>
                <c:pt idx="64">
                  <c:v>0.53481968212685083</c:v>
                </c:pt>
                <c:pt idx="65">
                  <c:v>0.51810267007938959</c:v>
                </c:pt>
                <c:pt idx="66">
                  <c:v>0.5016904552533562</c:v>
                </c:pt>
                <c:pt idx="67">
                  <c:v>0.48560014844113075</c:v>
                </c:pt>
                <c:pt idx="68">
                  <c:v>0.46984594590040557</c:v>
                </c:pt>
                <c:pt idx="69">
                  <c:v>0.45443939376868664</c:v>
                </c:pt>
                <c:pt idx="70">
                  <c:v>0.43938963535936076</c:v>
                </c:pt>
                <c:pt idx="71">
                  <c:v>0.42470364175700093</c:v>
                </c:pt>
                <c:pt idx="72">
                  <c:v>0.41038642624419686</c:v>
                </c:pt>
                <c:pt idx="73">
                  <c:v>0.39644124317725665</c:v>
                </c:pt>
                <c:pt idx="74">
                  <c:v>0.38286977198859212</c:v>
                </c:pt>
                <c:pt idx="75">
                  <c:v>0.36967228703372867</c:v>
                </c:pt>
                <c:pt idx="76">
                  <c:v>0.35684781402432936</c:v>
                </c:pt>
                <c:pt idx="77">
                  <c:v>0.3443942737985044</c:v>
                </c:pt>
                <c:pt idx="78">
                  <c:v>0.33230861417863961</c:v>
                </c:pt>
                <c:pt idx="79">
                  <c:v>0.32058693065726562</c:v>
                </c:pt>
                <c:pt idx="80">
                  <c:v>0.30922457663498915</c:v>
                </c:pt>
                <c:pt idx="81">
                  <c:v>0.2982162639128062</c:v>
                </c:pt>
                <c:pt idx="82">
                  <c:v>0.28755615411553914</c:v>
                </c:pt>
                <c:pt idx="83">
                  <c:v>0.27723794169478</c:v>
                </c:pt>
                <c:pt idx="84">
                  <c:v>0.26725492912948856</c:v>
                </c:pt>
                <c:pt idx="85">
                  <c:v>0.25760009491103336</c:v>
                </c:pt>
                <c:pt idx="86">
                  <c:v>0.24826615486756989</c:v>
                </c:pt>
                <c:pt idx="87">
                  <c:v>0.23924561735071787</c:v>
                </c:pt>
                <c:pt idx="88">
                  <c:v>0.23053083277590694</c:v>
                </c:pt>
                <c:pt idx="89">
                  <c:v>0.22211403797681689</c:v>
                </c:pt>
                <c:pt idx="90">
                  <c:v>0.21398739580426546</c:v>
                </c:pt>
                <c:pt idx="91">
                  <c:v>0.20614303037088358</c:v>
                </c:pt>
                <c:pt idx="92">
                  <c:v>0.19857305831507141</c:v>
                </c:pt>
                <c:pt idx="93">
                  <c:v>0.19126961643115187</c:v>
                </c:pt>
                <c:pt idx="94">
                  <c:v>0.18422488598737174</c:v>
                </c:pt>
                <c:pt idx="95">
                  <c:v>0.17743111402947617</c:v>
                </c:pt>
                <c:pt idx="96">
                  <c:v>0.17088063194500647</c:v>
                </c:pt>
                <c:pt idx="97">
                  <c:v>0.16456587154222838</c:v>
                </c:pt>
                <c:pt idx="98">
                  <c:v>0.158479378877664</c:v>
                </c:pt>
                <c:pt idx="99">
                  <c:v>0.15261382604754545</c:v>
                </c:pt>
                <c:pt idx="100">
                  <c:v>0.14696202114108112</c:v>
                </c:pt>
                <c:pt idx="101">
                  <c:v>0.14151691653718343</c:v>
                </c:pt>
                <c:pt idx="102">
                  <c:v>0.13627161571119314</c:v>
                </c:pt>
                <c:pt idx="103">
                  <c:v>0.13121937870410544</c:v>
                </c:pt>
                <c:pt idx="104">
                  <c:v>0.12635362639378211</c:v>
                </c:pt>
                <c:pt idx="105">
                  <c:v>0.12166794369558592</c:v>
                </c:pt>
                <c:pt idx="106">
                  <c:v>0.11715608180872986</c:v>
                </c:pt>
                <c:pt idx="107">
                  <c:v>0.11281195961434244</c:v>
                </c:pt>
                <c:pt idx="108">
                  <c:v>0.10862966432175734</c:v>
                </c:pt>
                <c:pt idx="109">
                  <c:v>0.10460345145079357</c:v>
                </c:pt>
                <c:pt idx="110">
                  <c:v>0.10072774422974215</c:v>
                </c:pt>
                <c:pt idx="111">
                  <c:v>9.6997132481378187E-2</c:v>
                </c:pt>
                <c:pt idx="112">
                  <c:v>9.3406371062523794E-2</c:v>
                </c:pt>
                <c:pt idx="113">
                  <c:v>8.9950377916450289E-2</c:v>
                </c:pt>
                <c:pt idx="114">
                  <c:v>8.6624231791699383E-2</c:v>
                </c:pt>
                <c:pt idx="115">
                  <c:v>8.3423169675665099E-2</c:v>
                </c:pt>
                <c:pt idx="116">
                  <c:v>8.034258398649563E-2</c:v>
                </c:pt>
                <c:pt idx="117">
                  <c:v>7.7378019562494654E-2</c:v>
                </c:pt>
                <c:pt idx="118">
                  <c:v>7.4525170484208425E-2</c:v>
                </c:pt>
                <c:pt idx="119">
                  <c:v>7.177987676073537E-2</c:v>
                </c:pt>
                <c:pt idx="120">
                  <c:v>6.913812090847285E-2</c:v>
                </c:pt>
                <c:pt idx="121">
                  <c:v>6.6596024447487162E-2</c:v>
                </c:pt>
                <c:pt idx="122">
                  <c:v>6.4149844337936759E-2</c:v>
                </c:pt>
                <c:pt idx="123">
                  <c:v>6.1795969376475413E-2</c:v>
                </c:pt>
                <c:pt idx="124">
                  <c:v>5.9530916570285544E-2</c:v>
                </c:pt>
                <c:pt idx="125">
                  <c:v>5.7351327504328233E-2</c:v>
                </c:pt>
                <c:pt idx="126">
                  <c:v>5.5253964715525614E-2</c:v>
                </c:pt>
                <c:pt idx="127">
                  <c:v>5.3235708085896283E-2</c:v>
                </c:pt>
                <c:pt idx="128">
                  <c:v>5.1293551265133026E-2</c:v>
                </c:pt>
                <c:pt idx="129">
                  <c:v>4.9424598131725839E-2</c:v>
                </c:pt>
                <c:pt idx="130">
                  <c:v>4.7626059300486891E-2</c:v>
                </c:pt>
                <c:pt idx="131">
                  <c:v>4.5895248683205617E-2</c:v>
                </c:pt>
                <c:pt idx="132">
                  <c:v>4.4229580108151083E-2</c:v>
                </c:pt>
                <c:pt idx="133">
                  <c:v>4.2626564003227091E-2</c:v>
                </c:pt>
                <c:pt idx="134">
                  <c:v>4.1083804146770299E-2</c:v>
                </c:pt>
                <c:pt idx="135">
                  <c:v>3.9598994489249008E-2</c:v>
                </c:pt>
                <c:pt idx="136">
                  <c:v>3.8169916048467159E-2</c:v>
                </c:pt>
                <c:pt idx="137">
                  <c:v>3.6794433880294609E-2</c:v>
                </c:pt>
                <c:pt idx="138">
                  <c:v>3.5470494126425542E-2</c:v>
                </c:pt>
                <c:pt idx="139">
                  <c:v>3.4196121140205385E-2</c:v>
                </c:pt>
                <c:pt idx="140">
                  <c:v>3.2969414691159112E-2</c:v>
                </c:pt>
                <c:pt idx="141">
                  <c:v>3.1788547248492005E-2</c:v>
                </c:pt>
                <c:pt idx="142">
                  <c:v>3.0651761343517978E-2</c:v>
                </c:pt>
                <c:pt idx="143">
                  <c:v>2.9557367010690953E-2</c:v>
                </c:pt>
                <c:pt idx="144">
                  <c:v>2.8503739306672968E-2</c:v>
                </c:pt>
                <c:pt idx="145">
                  <c:v>2.7489315906661378E-2</c:v>
                </c:pt>
                <c:pt idx="146">
                  <c:v>2.6512594777014759E-2</c:v>
                </c:pt>
                <c:pt idx="147">
                  <c:v>2.5572131923062253E-2</c:v>
                </c:pt>
                <c:pt idx="148">
                  <c:v>2.4666539210846064E-2</c:v>
                </c:pt>
                <c:pt idx="149">
                  <c:v>2.3794482261436475E-2</c:v>
                </c:pt>
              </c:numCache>
            </c:numRef>
          </c:val>
          <c:smooth val="0"/>
        </c:ser>
        <c:ser>
          <c:idx val="2"/>
          <c:order val="2"/>
          <c:tx>
            <c:v>Stdev .25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'Log-Norm 1'!$A$7:$A$156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1'!$D$7:$D$156</c:f>
              <c:numCache>
                <c:formatCode>0.0000</c:formatCode>
                <c:ptCount val="150"/>
                <c:pt idx="0">
                  <c:v>5.3785117474706628E-52</c:v>
                </c:pt>
                <c:pt idx="1">
                  <c:v>4.0044942792792622E-35</c:v>
                </c:pt>
                <c:pt idx="2">
                  <c:v>8.4007851025642411E-27</c:v>
                </c:pt>
                <c:pt idx="3">
                  <c:v>1.3674257363060961E-21</c:v>
                </c:pt>
                <c:pt idx="4">
                  <c:v>6.0574426797621494E-18</c:v>
                </c:pt>
                <c:pt idx="5">
                  <c:v>3.197138066802735E-15</c:v>
                </c:pt>
                <c:pt idx="6">
                  <c:v>4.230316365899739E-13</c:v>
                </c:pt>
                <c:pt idx="7">
                  <c:v>2.1415604475463963E-11</c:v>
                </c:pt>
                <c:pt idx="8">
                  <c:v>5.3856391482890195E-10</c:v>
                </c:pt>
                <c:pt idx="9">
                  <c:v>7.986370693270249E-9</c:v>
                </c:pt>
                <c:pt idx="10">
                  <c:v>7.8577631446879537E-8</c:v>
                </c:pt>
                <c:pt idx="11">
                  <c:v>5.5805039962821021E-7</c:v>
                </c:pt>
                <c:pt idx="12">
                  <c:v>3.0437208459722573E-6</c:v>
                </c:pt>
                <c:pt idx="13">
                  <c:v>1.3360454237057703E-5</c:v>
                </c:pt>
                <c:pt idx="14">
                  <c:v>4.893217138801079E-5</c:v>
                </c:pt>
                <c:pt idx="15">
                  <c:v>1.5382518317514092E-4</c:v>
                </c:pt>
                <c:pt idx="16">
                  <c:v>4.2455168930933878E-4</c:v>
                </c:pt>
                <c:pt idx="17">
                  <c:v>1.0476946529544538E-3</c:v>
                </c:pt>
                <c:pt idx="18">
                  <c:v>2.3465457428639516E-3</c:v>
                </c:pt>
                <c:pt idx="19">
                  <c:v>4.8292549264143626E-3</c:v>
                </c:pt>
                <c:pt idx="20">
                  <c:v>9.2271829387286057E-3</c:v>
                </c:pt>
                <c:pt idx="21">
                  <c:v>1.6510872841063257E-2</c:v>
                </c:pt>
                <c:pt idx="22">
                  <c:v>2.7873159732338389E-2</c:v>
                </c:pt>
                <c:pt idx="23">
                  <c:v>4.4674116390347525E-2</c:v>
                </c:pt>
                <c:pt idx="24">
                  <c:v>6.8349495096432261E-2</c:v>
                </c:pt>
                <c:pt idx="25">
                  <c:v>0.10029130247511235</c:v>
                </c:pt>
                <c:pt idx="26">
                  <c:v>0.1417144870546308</c:v>
                </c:pt>
                <c:pt idx="27">
                  <c:v>0.19352635459467368</c:v>
                </c:pt>
                <c:pt idx="28">
                  <c:v>0.25621494395645905</c:v>
                </c:pt>
                <c:pt idx="29">
                  <c:v>0.32976958637923814</c:v>
                </c:pt>
                <c:pt idx="30">
                  <c:v>0.41364209370945593</c:v>
                </c:pt>
                <c:pt idx="31">
                  <c:v>0.50675152046203076</c:v>
                </c:pt>
                <c:pt idx="32">
                  <c:v>0.60753019488488624</c:v>
                </c:pt>
                <c:pt idx="33">
                  <c:v>0.71400445003409097</c:v>
                </c:pt>
                <c:pt idx="34">
                  <c:v>0.82390062817864351</c:v>
                </c:pt>
                <c:pt idx="35">
                  <c:v>0.93476559538208881</c:v>
                </c:pt>
                <c:pt idx="36">
                  <c:v>1.0440910575117184</c:v>
                </c:pt>
                <c:pt idx="37">
                  <c:v>1.1494321242198935</c:v>
                </c:pt>
                <c:pt idx="38">
                  <c:v>1.2485124600426885</c:v>
                </c:pt>
                <c:pt idx="39">
                  <c:v>1.3393106258789982</c:v>
                </c:pt>
                <c:pt idx="40">
                  <c:v>1.4201245314840039</c:v>
                </c:pt>
                <c:pt idx="41">
                  <c:v>1.4896130469399078</c:v>
                </c:pt>
                <c:pt idx="42">
                  <c:v>1.5468155985600074</c:v>
                </c:pt>
                <c:pt idx="43">
                  <c:v>1.5911519208597973</c:v>
                </c:pt>
                <c:pt idx="44">
                  <c:v>1.6224050344461871</c:v>
                </c:pt>
                <c:pt idx="45">
                  <c:v>1.6406910010172568</c:v>
                </c:pt>
                <c:pt idx="46">
                  <c:v>1.6464191326842834</c:v>
                </c:pt>
                <c:pt idx="47">
                  <c:v>1.6402461803538277</c:v>
                </c:pt>
                <c:pt idx="48">
                  <c:v>1.6230276750421924</c:v>
                </c:pt>
                <c:pt idx="49">
                  <c:v>1.5957691216057299</c:v>
                </c:pt>
                <c:pt idx="50">
                  <c:v>1.5595792108422413</c:v>
                </c:pt>
                <c:pt idx="51">
                  <c:v>1.5156266746092419</c:v>
                </c:pt>
                <c:pt idx="52">
                  <c:v>1.4651018973561691</c:v>
                </c:pt>
                <c:pt idx="53">
                  <c:v>1.4091839415135645</c:v>
                </c:pt>
                <c:pt idx="54">
                  <c:v>1.3490132578895826</c:v>
                </c:pt>
                <c:pt idx="55">
                  <c:v>1.2856700412155786</c:v>
                </c:pt>
                <c:pt idx="56">
                  <c:v>1.2201579543154017</c:v>
                </c:pt>
                <c:pt idx="57">
                  <c:v>1.1533927765590433</c:v>
                </c:pt>
                <c:pt idx="58">
                  <c:v>1.0861954250032997</c:v>
                </c:pt>
                <c:pt idx="59">
                  <c:v>1.0192887402168016</c:v>
                </c:pt>
                <c:pt idx="60">
                  <c:v>0.953297413188819</c:v>
                </c:pt>
                <c:pt idx="61">
                  <c:v>0.88875044529702207</c:v>
                </c:pt>
                <c:pt idx="62">
                  <c:v>0.82608557132482052</c:v>
                </c:pt>
                <c:pt idx="63">
                  <c:v>0.7656551284126456</c:v>
                </c:pt>
                <c:pt idx="64">
                  <c:v>0.70773291532030846</c:v>
                </c:pt>
                <c:pt idx="65">
                  <c:v>0.65252165146388696</c:v>
                </c:pt>
                <c:pt idx="66">
                  <c:v>0.60016071005198823</c:v>
                </c:pt>
                <c:pt idx="67">
                  <c:v>0.55073386151788573</c:v>
                </c:pt>
                <c:pt idx="68">
                  <c:v>0.50427682045856692</c:v>
                </c:pt>
                <c:pt idx="69">
                  <c:v>0.46078444031823895</c:v>
                </c:pt>
                <c:pt idx="70">
                  <c:v>0.4202174445436348</c:v>
                </c:pt>
                <c:pt idx="71">
                  <c:v>0.38250862078505693</c:v>
                </c:pt>
                <c:pt idx="72">
                  <c:v>0.34756843613464272</c:v>
                </c:pt>
                <c:pt idx="73">
                  <c:v>0.31529005681437988</c:v>
                </c:pt>
                <c:pt idx="74">
                  <c:v>0.28555377571925772</c:v>
                </c:pt>
                <c:pt idx="75">
                  <c:v>0.25823086642477927</c:v>
                </c:pt>
                <c:pt idx="76">
                  <c:v>0.23318689334397227</c:v>
                </c:pt>
                <c:pt idx="77">
                  <c:v>0.2102845153145704</c:v>
                </c:pt>
                <c:pt idx="78">
                  <c:v>0.18938582462199141</c:v>
                </c:pt>
                <c:pt idx="79">
                  <c:v>0.17035426587486777</c:v>
                </c:pt>
                <c:pt idx="80">
                  <c:v>0.15305617974260644</c:v>
                </c:pt>
                <c:pt idx="81">
                  <c:v>0.13736201576975193</c:v>
                </c:pt>
                <c:pt idx="82">
                  <c:v>0.12314725666705689</c:v>
                </c:pt>
                <c:pt idx="83">
                  <c:v>0.11029309395090033</c:v>
                </c:pt>
                <c:pt idx="84">
                  <c:v>9.8686891812220359E-2</c:v>
                </c:pt>
                <c:pt idx="85">
                  <c:v>8.8222472844903976E-2</c:v>
                </c:pt>
                <c:pt idx="86">
                  <c:v>7.8800255909417596E-2</c:v>
                </c:pt>
                <c:pt idx="87">
                  <c:v>7.0327273070826327E-2</c:v>
                </c:pt>
                <c:pt idx="88">
                  <c:v>6.2717089320113648E-2</c:v>
                </c:pt>
                <c:pt idx="89">
                  <c:v>5.5889645726684881E-2</c:v>
                </c:pt>
                <c:pt idx="90">
                  <c:v>4.9771043819681025E-2</c:v>
                </c:pt>
                <c:pt idx="91">
                  <c:v>4.4293286380931128E-2</c:v>
                </c:pt>
                <c:pt idx="92">
                  <c:v>3.9393987464471432E-2</c:v>
                </c:pt>
                <c:pt idx="93">
                  <c:v>3.5016062337999733E-2</c:v>
                </c:pt>
                <c:pt idx="94">
                  <c:v>3.1107406164382026E-2</c:v>
                </c:pt>
                <c:pt idx="95">
                  <c:v>2.7620568595116142E-2</c:v>
                </c:pt>
                <c:pt idx="96">
                  <c:v>2.4512430017675235E-2</c:v>
                </c:pt>
                <c:pt idx="97">
                  <c:v>2.1743883967931216E-2</c:v>
                </c:pt>
                <c:pt idx="98">
                  <c:v>1.9279529169357018E-2</c:v>
                </c:pt>
                <c:pt idx="99">
                  <c:v>1.7087373774107899E-2</c:v>
                </c:pt>
                <c:pt idx="100">
                  <c:v>1.5138553639402488E-2</c:v>
                </c:pt>
                <c:pt idx="101">
                  <c:v>1.3407065858631988E-2</c:v>
                </c:pt>
                <c:pt idx="102">
                  <c:v>1.1869518264137159E-2</c:v>
                </c:pt>
                <c:pt idx="103">
                  <c:v>1.0504895212638893E-2</c:v>
                </c:pt>
                <c:pt idx="104">
                  <c:v>9.2943396412396989E-3</c:v>
                </c:pt>
                <c:pt idx="105">
                  <c:v>8.2209511294167627E-3</c:v>
                </c:pt>
                <c:pt idx="106">
                  <c:v>7.2695995095245283E-3</c:v>
                </c:pt>
                <c:pt idx="107">
                  <c:v>6.4267534252977349E-3</c:v>
                </c:pt>
                <c:pt idx="108">
                  <c:v>5.6803231361903048E-3</c:v>
                </c:pt>
                <c:pt idx="109">
                  <c:v>5.0195167976989745E-3</c:v>
                </c:pt>
                <c:pt idx="110">
                  <c:v>4.4347094077205823E-3</c:v>
                </c:pt>
                <c:pt idx="111">
                  <c:v>3.91732359101648E-3</c:v>
                </c:pt>
                <c:pt idx="112">
                  <c:v>3.4597213933604621E-3</c:v>
                </c:pt>
                <c:pt idx="113">
                  <c:v>3.0551062700147659E-3</c:v>
                </c:pt>
                <c:pt idx="114">
                  <c:v>2.6974344765351667E-3</c:v>
                </c:pt>
                <c:pt idx="115">
                  <c:v>2.3813351008314574E-3</c:v>
                </c:pt>
                <c:pt idx="116">
                  <c:v>2.1020380116691575E-3</c:v>
                </c:pt>
                <c:pt idx="117">
                  <c:v>1.8553090385687856E-3</c:v>
                </c:pt>
                <c:pt idx="118">
                  <c:v>1.637391739874346E-3</c:v>
                </c:pt>
                <c:pt idx="119">
                  <c:v>1.444955158454099E-3</c:v>
                </c:pt>
                <c:pt idx="120">
                  <c:v>1.2750470071498034E-3</c:v>
                </c:pt>
                <c:pt idx="121">
                  <c:v>1.1250517680014194E-3</c:v>
                </c:pt>
                <c:pt idx="122">
                  <c:v>9.9265322991382325E-4</c:v>
                </c:pt>
                <c:pt idx="123">
                  <c:v>8.7580102841619892E-4</c:v>
                </c:pt>
                <c:pt idx="124">
                  <c:v>7.7268078822628674E-4</c:v>
                </c:pt>
                <c:pt idx="125">
                  <c:v>6.8168750429889664E-4</c:v>
                </c:pt>
                <c:pt idx="126">
                  <c:v>6.0140182981516558E-4</c:v>
                </c:pt>
                <c:pt idx="127">
                  <c:v>5.3056897012000595E-4</c:v>
                </c:pt>
                <c:pt idx="128">
                  <c:v>4.680799099506741E-4</c:v>
                </c:pt>
                <c:pt idx="129">
                  <c:v>4.1295472746542892E-4</c:v>
                </c:pt>
                <c:pt idx="130">
                  <c:v>3.6432777265013247E-4</c:v>
                </c:pt>
                <c:pt idx="131">
                  <c:v>3.2143450974351232E-4</c:v>
                </c:pt>
                <c:pt idx="132">
                  <c:v>2.8359984348259691E-4</c:v>
                </c:pt>
                <c:pt idx="133">
                  <c:v>2.5022776734028338E-4</c:v>
                </c:pt>
                <c:pt idx="134">
                  <c:v>2.2079218862315687E-4</c:v>
                </c:pt>
                <c:pt idx="135">
                  <c:v>1.9482880043645366E-4</c:v>
                </c:pt>
                <c:pt idx="136">
                  <c:v>1.7192788422031854E-4</c:v>
                </c:pt>
                <c:pt idx="137">
                  <c:v>1.5172793893010515E-4</c:v>
                </c:pt>
                <c:pt idx="138">
                  <c:v>1.3391004408198586E-4</c:v>
                </c:pt>
                <c:pt idx="139">
                  <c:v>1.1819287391726589E-4</c:v>
                </c:pt>
                <c:pt idx="140">
                  <c:v>1.0432828895222125E-4</c:v>
                </c:pt>
                <c:pt idx="141">
                  <c:v>9.2097439267029132E-5</c:v>
                </c:pt>
                <c:pt idx="142">
                  <c:v>8.1307321132949401E-5</c:v>
                </c:pt>
                <c:pt idx="143">
                  <c:v>7.1787735060942285E-5</c:v>
                </c:pt>
                <c:pt idx="144">
                  <c:v>6.3388599150696054E-5</c:v>
                </c:pt>
                <c:pt idx="145">
                  <c:v>5.5977576794179364E-5</c:v>
                </c:pt>
                <c:pt idx="146">
                  <c:v>4.9437982404133643E-5</c:v>
                </c:pt>
                <c:pt idx="147">
                  <c:v>4.3666932951965484E-5</c:v>
                </c:pt>
                <c:pt idx="148">
                  <c:v>3.8573716762711011E-5</c:v>
                </c:pt>
                <c:pt idx="149">
                  <c:v>3.4078354273923709E-5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89032"/>
        <c:axId val="684291776"/>
      </c:lineChart>
      <c:catAx>
        <c:axId val="684289032"/>
        <c:scaling>
          <c:orientation val="minMax"/>
        </c:scaling>
        <c:delete val="0"/>
        <c:axPos val="b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91776"/>
        <c:crosses val="autoZero"/>
        <c:auto val="1"/>
        <c:lblAlgn val="ctr"/>
        <c:lblOffset val="100"/>
        <c:noMultiLvlLbl val="0"/>
      </c:catAx>
      <c:valAx>
        <c:axId val="68429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89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Log-Normal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Stdev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'Log-Norm 1'!$P$7:$P$156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1'!$Q$7:$Q$156</c:f>
              <c:numCache>
                <c:formatCode>0.0000</c:formatCode>
                <c:ptCount val="150"/>
                <c:pt idx="0">
                  <c:v>9.4770942323456672E-3</c:v>
                </c:pt>
                <c:pt idx="1">
                  <c:v>5.6098651941979064E-2</c:v>
                </c:pt>
                <c:pt idx="2">
                  <c:v>0.12705086676108018</c:v>
                </c:pt>
                <c:pt idx="3">
                  <c:v>0.205386341405841</c:v>
                </c:pt>
                <c:pt idx="4">
                  <c:v>0.28159018901526833</c:v>
                </c:pt>
                <c:pt idx="5">
                  <c:v>0.3511879500945787</c:v>
                </c:pt>
                <c:pt idx="6">
                  <c:v>0.4124560770196698</c:v>
                </c:pt>
                <c:pt idx="7">
                  <c:v>0.46508528570535734</c:v>
                </c:pt>
                <c:pt idx="8">
                  <c:v>0.50945847576765058</c:v>
                </c:pt>
                <c:pt idx="9">
                  <c:v>0.54626787075817995</c:v>
                </c:pt>
                <c:pt idx="10">
                  <c:v>0.57631424896619898</c:v>
                </c:pt>
                <c:pt idx="11">
                  <c:v>0.60040387582896482</c:v>
                </c:pt>
                <c:pt idx="12">
                  <c:v>0.61929806733927673</c:v>
                </c:pt>
                <c:pt idx="13">
                  <c:v>0.6336911025101627</c:v>
                </c:pt>
                <c:pt idx="14">
                  <c:v>0.64420325735919959</c:v>
                </c:pt>
                <c:pt idx="15">
                  <c:v>0.65138169153415948</c:v>
                </c:pt>
                <c:pt idx="16">
                  <c:v>0.65570517817849616</c:v>
                </c:pt>
                <c:pt idx="17">
                  <c:v>0.65759047392786518</c:v>
                </c:pt>
                <c:pt idx="18">
                  <c:v>0.65739913674932848</c:v>
                </c:pt>
                <c:pt idx="19">
                  <c:v>0.65544416806031158</c:v>
                </c:pt>
                <c:pt idx="20">
                  <c:v>0.65199617542585231</c:v>
                </c:pt>
                <c:pt idx="21">
                  <c:v>0.64728893052503822</c:v>
                </c:pt>
                <c:pt idx="22">
                  <c:v>0.64152429455280824</c:v>
                </c:pt>
                <c:pt idx="23">
                  <c:v>0.63487653433747093</c:v>
                </c:pt>
                <c:pt idx="24">
                  <c:v>0.62749607711592437</c:v>
                </c:pt>
                <c:pt idx="25">
                  <c:v>0.61951276166259939</c:v>
                </c:pt>
                <c:pt idx="26">
                  <c:v>0.61103864502950545</c:v>
                </c:pt>
                <c:pt idx="27">
                  <c:v>0.60217042142366606</c:v>
                </c:pt>
                <c:pt idx="28">
                  <c:v>0.59299150497357267</c:v>
                </c:pt>
                <c:pt idx="29">
                  <c:v>0.58357382259450385</c:v>
                </c:pt>
                <c:pt idx="30">
                  <c:v>0.57397935755711771</c:v>
                </c:pt>
                <c:pt idx="31">
                  <c:v>0.56426147906190371</c:v>
                </c:pt>
                <c:pt idx="32">
                  <c:v>0.55446608829575894</c:v>
                </c:pt>
                <c:pt idx="33">
                  <c:v>0.54463260715663153</c:v>
                </c:pt>
                <c:pt idx="34">
                  <c:v>0.53479483207691958</c:v>
                </c:pt>
                <c:pt idx="35">
                  <c:v>0.52498167212330127</c:v>
                </c:pt>
                <c:pt idx="36">
                  <c:v>0.5152177877524593</c:v>
                </c:pt>
                <c:pt idx="37">
                  <c:v>0.50552414420658431</c:v>
                </c:pt>
                <c:pt idx="38">
                  <c:v>0.49591849148807737</c:v>
                </c:pt>
                <c:pt idx="39">
                  <c:v>0.48641578111155331</c:v>
                </c:pt>
                <c:pt idx="40">
                  <c:v>0.47702852834978932</c:v>
                </c:pt>
                <c:pt idx="41">
                  <c:v>0.46776712743054738</c:v>
                </c:pt>
                <c:pt idx="42">
                  <c:v>0.45864012607005178</c:v>
                </c:pt>
                <c:pt idx="43">
                  <c:v>0.4496544648178093</c:v>
                </c:pt>
                <c:pt idx="44">
                  <c:v>0.44081568591202647</c:v>
                </c:pt>
                <c:pt idx="45">
                  <c:v>0.43212811568437781</c:v>
                </c:pt>
                <c:pt idx="46">
                  <c:v>0.42359502398971705</c:v>
                </c:pt>
                <c:pt idx="47">
                  <c:v>0.41521876365564464</c:v>
                </c:pt>
                <c:pt idx="48">
                  <c:v>0.40700089253606886</c:v>
                </c:pt>
                <c:pt idx="49">
                  <c:v>0.39894228040143254</c:v>
                </c:pt>
                <c:pt idx="50">
                  <c:v>0.39104320259716041</c:v>
                </c:pt>
                <c:pt idx="51">
                  <c:v>0.38330342214356738</c:v>
                </c:pt>
                <c:pt idx="52">
                  <c:v>0.3757222617285641</c:v>
                </c:pt>
                <c:pt idx="53">
                  <c:v>0.368298666853621</c:v>
                </c:pt>
                <c:pt idx="54">
                  <c:v>0.36103126122903983</c:v>
                </c:pt>
                <c:pt idx="55">
                  <c:v>0.35391839537277087</c:v>
                </c:pt>
                <c:pt idx="56">
                  <c:v>0.34695818924453925</c:v>
                </c:pt>
                <c:pt idx="57">
                  <c:v>0.34014856964112228</c:v>
                </c:pt>
                <c:pt idx="58">
                  <c:v>0.3334873029868981</c:v>
                </c:pt>
                <c:pt idx="59">
                  <c:v>0.32697202407425552</c:v>
                </c:pt>
                <c:pt idx="60">
                  <c:v>0.32060026123941382</c:v>
                </c:pt>
                <c:pt idx="61">
                  <c:v>0.31436945839917957</c:v>
                </c:pt>
                <c:pt idx="62">
                  <c:v>0.30827699432194061</c:v>
                </c:pt>
                <c:pt idx="63">
                  <c:v>0.30232019946068162</c:v>
                </c:pt>
                <c:pt idx="64">
                  <c:v>0.29649637063610479</c:v>
                </c:pt>
                <c:pt idx="65">
                  <c:v>0.29080278382326807</c:v>
                </c:pt>
                <c:pt idx="66">
                  <c:v>0.28523670526483391</c:v>
                </c:pt>
                <c:pt idx="67">
                  <c:v>0.27979540110749435</c:v>
                </c:pt>
                <c:pt idx="68">
                  <c:v>0.27447614573488721</c:v>
                </c:pt>
                <c:pt idx="69">
                  <c:v>0.26927622894993247</c:v>
                </c:pt>
                <c:pt idx="70">
                  <c:v>0.26419296214161819</c:v>
                </c:pt>
                <c:pt idx="71">
                  <c:v>0.25922368355553566</c:v>
                </c:pt>
                <c:pt idx="72">
                  <c:v>0.25436576277363127</c:v>
                </c:pt>
                <c:pt idx="73">
                  <c:v>0.24961660449646172</c:v>
                </c:pt>
                <c:pt idx="74">
                  <c:v>0.24497365171050975</c:v>
                </c:pt>
                <c:pt idx="75">
                  <c:v>0.24043438831365246</c:v>
                </c:pt>
                <c:pt idx="76">
                  <c:v>0.23599634126352709</c:v>
                </c:pt>
                <c:pt idx="77">
                  <c:v>0.23165708230615681</c:v>
                </c:pt>
                <c:pt idx="78">
                  <c:v>0.2274142293356855</c:v>
                </c:pt>
                <c:pt idx="79">
                  <c:v>0.22326544743029886</c:v>
                </c:pt>
                <c:pt idx="80">
                  <c:v>0.21920844960430749</c:v>
                </c:pt>
                <c:pt idx="81">
                  <c:v>0.2152409973118469</c:v>
                </c:pt>
                <c:pt idx="82">
                  <c:v>0.21136090073364103</c:v>
                </c:pt>
                <c:pt idx="83">
                  <c:v>0.20756601887472514</c:v>
                </c:pt>
                <c:pt idx="84">
                  <c:v>0.20385425949787131</c:v>
                </c:pt>
                <c:pt idx="85">
                  <c:v>0.20022357891466094</c:v>
                </c:pt>
                <c:pt idx="86">
                  <c:v>0.19667198165366465</c:v>
                </c:pt>
                <c:pt idx="87">
                  <c:v>0.19319752002298135</c:v>
                </c:pt>
                <c:pt idx="88">
                  <c:v>0.18979829358242559</c:v>
                </c:pt>
                <c:pt idx="89">
                  <c:v>0.18647244853890799</c:v>
                </c:pt>
                <c:pt idx="90">
                  <c:v>0.18321817707699864</c:v>
                </c:pt>
                <c:pt idx="91">
                  <c:v>0.18003371663528597</c:v>
                </c:pt>
                <c:pt idx="92">
                  <c:v>0.17691734913790924</c:v>
                </c:pt>
                <c:pt idx="93">
                  <c:v>0.1738674001895533</c:v>
                </c:pt>
                <c:pt idx="94">
                  <c:v>0.17088223824121515</c:v>
                </c:pt>
                <c:pt idx="95">
                  <c:v>0.16796027373318798</c:v>
                </c:pt>
                <c:pt idx="96">
                  <c:v>0.1650999582209321</c:v>
                </c:pt>
                <c:pt idx="97">
                  <c:v>0.16229978348881671</c:v>
                </c:pt>
                <c:pt idx="98">
                  <c:v>0.15955828065610136</c:v>
                </c:pt>
                <c:pt idx="99">
                  <c:v>0.15687401927898093</c:v>
                </c:pt>
                <c:pt idx="100">
                  <c:v>0.15424560645203206</c:v>
                </c:pt>
                <c:pt idx="101">
                  <c:v>0.15167168591196539</c:v>
                </c:pt>
                <c:pt idx="102">
                  <c:v>0.14915093714620384</c:v>
                </c:pt>
                <c:pt idx="103">
                  <c:v>0.14668207450846321</c:v>
                </c:pt>
                <c:pt idx="104">
                  <c:v>0.14426384634320799</c:v>
                </c:pt>
                <c:pt idx="105">
                  <c:v>0.14189503412058335</c:v>
                </c:pt>
                <c:pt idx="106">
                  <c:v>0.13957445158318357</c:v>
                </c:pt>
                <c:pt idx="107">
                  <c:v>0.13730094390580441</c:v>
                </c:pt>
                <c:pt idx="108">
                  <c:v>0.1350733868691362</c:v>
                </c:pt>
                <c:pt idx="109">
                  <c:v>0.13289068604818727</c:v>
                </c:pt>
                <c:pt idx="110">
                  <c:v>0.13075177601607813</c:v>
                </c:pt>
                <c:pt idx="111">
                  <c:v>0.12865561956371538</c:v>
                </c:pt>
                <c:pt idx="112">
                  <c:v>0.12660120693573865</c:v>
                </c:pt>
                <c:pt idx="113">
                  <c:v>0.12458755508303011</c:v>
                </c:pt>
                <c:pt idx="114">
                  <c:v>0.12261370693198836</c:v>
                </c:pt>
                <c:pt idx="115">
                  <c:v>0.12067873067068639</c:v>
                </c:pt>
                <c:pt idx="116">
                  <c:v>0.11878171905196672</c:v>
                </c:pt>
                <c:pt idx="117">
                  <c:v>0.11692178871346426</c:v>
                </c:pt>
                <c:pt idx="118">
                  <c:v>0.11509807951449592</c:v>
                </c:pt>
                <c:pt idx="119">
                  <c:v>0.11330975388970903</c:v>
                </c:pt>
                <c:pt idx="120">
                  <c:v>0.11155599621934265</c:v>
                </c:pt>
                <c:pt idx="121">
                  <c:v>0.10983601221591989</c:v>
                </c:pt>
                <c:pt idx="122">
                  <c:v>0.10814902832716186</c:v>
                </c:pt>
                <c:pt idx="123">
                  <c:v>0.1064942911548884</c:v>
                </c:pt>
                <c:pt idx="124">
                  <c:v>0.1048710668896497</c:v>
                </c:pt>
                <c:pt idx="125">
                  <c:v>0.1032786407608166</c:v>
                </c:pt>
                <c:pt idx="126">
                  <c:v>0.10171631650184211</c:v>
                </c:pt>
                <c:pt idx="127">
                  <c:v>0.10018341583039557</c:v>
                </c:pt>
                <c:pt idx="128">
                  <c:v>9.867927794306211E-2</c:v>
                </c:pt>
                <c:pt idx="129">
                  <c:v>9.7203259024292735E-2</c:v>
                </c:pt>
                <c:pt idx="130">
                  <c:v>9.5754731769285256E-2</c:v>
                </c:pt>
                <c:pt idx="131">
                  <c:v>9.4333084920473584E-2</c:v>
                </c:pt>
                <c:pt idx="132">
                  <c:v>9.2937722817300186E-2</c:v>
                </c:pt>
                <c:pt idx="133">
                  <c:v>9.1568064958946538E-2</c:v>
                </c:pt>
                <c:pt idx="134">
                  <c:v>9.0223545579696404E-2</c:v>
                </c:pt>
                <c:pt idx="135">
                  <c:v>8.8903613236608656E-2</c:v>
                </c:pt>
                <c:pt idx="136">
                  <c:v>8.7607730409178741E-2</c:v>
                </c:pt>
                <c:pt idx="137">
                  <c:v>8.6335373110670285E-2</c:v>
                </c:pt>
                <c:pt idx="138">
                  <c:v>8.5086030510803198E-2</c:v>
                </c:pt>
                <c:pt idx="139">
                  <c:v>8.3859204569487616E-2</c:v>
                </c:pt>
                <c:pt idx="140">
                  <c:v>8.2654409681298793E-2</c:v>
                </c:pt>
                <c:pt idx="141">
                  <c:v>8.1471172330392402E-2</c:v>
                </c:pt>
                <c:pt idx="142">
                  <c:v>8.0309030755565697E-2</c:v>
                </c:pt>
                <c:pt idx="143">
                  <c:v>7.9167534625174965E-2</c:v>
                </c:pt>
                <c:pt idx="144">
                  <c:v>7.8046244721626523E-2</c:v>
                </c:pt>
                <c:pt idx="145">
                  <c:v>7.6944732635163451E-2</c:v>
                </c:pt>
                <c:pt idx="146">
                  <c:v>7.5862580466677348E-2</c:v>
                </c:pt>
                <c:pt idx="147">
                  <c:v>7.4799380539280327E-2</c:v>
                </c:pt>
                <c:pt idx="148">
                  <c:v>7.3754735118378434E-2</c:v>
                </c:pt>
                <c:pt idx="149">
                  <c:v>7.2728256139994604E-2</c:v>
                </c:pt>
              </c:numCache>
            </c:numRef>
          </c:val>
          <c:smooth val="0"/>
        </c:ser>
        <c:ser>
          <c:idx val="1"/>
          <c:order val="1"/>
          <c:tx>
            <c:v>Stdev .5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'Log-Norm 1'!$P$7:$P$156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1'!$R$7:$R$156</c:f>
              <c:numCache>
                <c:formatCode>0.0000</c:formatCode>
                <c:ptCount val="150"/>
                <c:pt idx="0">
                  <c:v>2.0327809439919957E-12</c:v>
                </c:pt>
                <c:pt idx="1">
                  <c:v>1.9965926733175838E-8</c:v>
                </c:pt>
                <c:pt idx="2">
                  <c:v>1.7728176964408502E-6</c:v>
                </c:pt>
                <c:pt idx="3">
                  <c:v>2.8698288311403935E-5</c:v>
                </c:pt>
                <c:pt idx="4">
                  <c:v>1.980477329918363E-4</c:v>
                </c:pt>
                <c:pt idx="5">
                  <c:v>8.27945901286488E-4</c:v>
                </c:pt>
                <c:pt idx="6">
                  <c:v>2.5014667372129178E-3</c:v>
                </c:pt>
                <c:pt idx="7">
                  <c:v>6.0365686580179326E-3</c:v>
                </c:pt>
                <c:pt idx="8">
                  <c:v>1.2375207258254103E-2</c:v>
                </c:pt>
                <c:pt idx="9">
                  <c:v>2.2439460776791587E-2</c:v>
                </c:pt>
                <c:pt idx="10">
                  <c:v>3.7000302102007526E-2</c:v>
                </c:pt>
                <c:pt idx="11">
                  <c:v>5.6585801503254145E-2</c:v>
                </c:pt>
                <c:pt idx="12">
                  <c:v>8.1436432632297565E-2</c:v>
                </c:pt>
                <c:pt idx="13">
                  <c:v>0.11150242934995279</c:v>
                </c:pt>
                <c:pt idx="14">
                  <c:v>0.14647220793767593</c:v>
                </c:pt>
                <c:pt idx="15">
                  <c:v>0.18581977235254848</c:v>
                </c:pt>
                <c:pt idx="16">
                  <c:v>0.22886058448193722</c:v>
                </c:pt>
                <c:pt idx="17">
                  <c:v>0.27480798864936468</c:v>
                </c:pt>
                <c:pt idx="18">
                  <c:v>0.32282496000610889</c:v>
                </c:pt>
                <c:pt idx="19">
                  <c:v>0.37206822856428606</c:v>
                </c:pt>
                <c:pt idx="20">
                  <c:v>0.42172355823422186</c:v>
                </c:pt>
                <c:pt idx="21">
                  <c:v>0.47103214714707281</c:v>
                </c:pt>
                <c:pt idx="22">
                  <c:v>0.5193088505804011</c:v>
                </c:pt>
                <c:pt idx="23">
                  <c:v>0.56595332010072119</c:v>
                </c:pt>
                <c:pt idx="24">
                  <c:v>0.61045530419018335</c:v>
                </c:pt>
                <c:pt idx="25">
                  <c:v>0.65239535065358401</c:v>
                </c:pt>
                <c:pt idx="26">
                  <c:v>0.69144205322084529</c:v>
                </c:pt>
                <c:pt idx="27">
                  <c:v>0.72734683930461241</c:v>
                </c:pt>
                <c:pt idx="28">
                  <c:v>0.75993713324902323</c:v>
                </c:pt>
                <c:pt idx="29">
                  <c:v>0.78910856871343837</c:v>
                </c:pt>
                <c:pt idx="30">
                  <c:v>0.81481677605839065</c:v>
                </c:pt>
                <c:pt idx="31">
                  <c:v>0.83706914117437325</c:v>
                </c:pt>
                <c:pt idx="32">
                  <c:v>0.85591682293990412</c:v>
                </c:pt>
                <c:pt idx="33">
                  <c:v>0.87144722702401545</c:v>
                </c:pt>
                <c:pt idx="34">
                  <c:v>0.88377706242829857</c:v>
                </c:pt>
                <c:pt idx="35">
                  <c:v>0.8930460517673573</c:v>
                </c:pt>
                <c:pt idx="36">
                  <c:v>0.89941132440220883</c:v>
                </c:pt>
                <c:pt idx="37">
                  <c:v>0.90304249082011812</c:v>
                </c:pt>
                <c:pt idx="38">
                  <c:v>0.90411737494708933</c:v>
                </c:pt>
                <c:pt idx="39">
                  <c:v>0.90281836649904601</c:v>
                </c:pt>
                <c:pt idx="40">
                  <c:v>0.89932934641845674</c:v>
                </c:pt>
                <c:pt idx="41">
                  <c:v>0.89383313357018979</c:v>
                </c:pt>
                <c:pt idx="42">
                  <c:v>0.88650939909688498</c:v>
                </c:pt>
                <c:pt idx="43">
                  <c:v>0.8775329952908224</c:v>
                </c:pt>
                <c:pt idx="44">
                  <c:v>0.86707264784234062</c:v>
                </c:pt>
                <c:pt idx="45">
                  <c:v>0.85528996334534158</c:v>
                </c:pt>
                <c:pt idx="46">
                  <c:v>0.84233870757601093</c:v>
                </c:pt>
                <c:pt idx="47">
                  <c:v>0.82836431401158517</c:v>
                </c:pt>
                <c:pt idx="48">
                  <c:v>0.81350358610294538</c:v>
                </c:pt>
                <c:pt idx="49">
                  <c:v>0.79788456080286507</c:v>
                </c:pt>
                <c:pt idx="50">
                  <c:v>0.78162650467498929</c:v>
                </c:pt>
                <c:pt idx="51">
                  <c:v>0.76484001749867148</c:v>
                </c:pt>
                <c:pt idx="52">
                  <c:v>0.74762722160148509</c:v>
                </c:pt>
                <c:pt idx="53">
                  <c:v>0.73008201817510732</c:v>
                </c:pt>
                <c:pt idx="54">
                  <c:v>0.71229039455688459</c:v>
                </c:pt>
                <c:pt idx="55">
                  <c:v>0.69433076889477618</c:v>
                </c:pt>
                <c:pt idx="56">
                  <c:v>0.67627436077059278</c:v>
                </c:pt>
                <c:pt idx="57">
                  <c:v>0.65818557825307511</c:v>
                </c:pt>
                <c:pt idx="58">
                  <c:v>0.64012241350848709</c:v>
                </c:pt>
                <c:pt idx="59">
                  <c:v>0.62213684053328544</c:v>
                </c:pt>
                <c:pt idx="60">
                  <c:v>0.60427520981247107</c:v>
                </c:pt>
                <c:pt idx="61">
                  <c:v>0.58657863576927527</c:v>
                </c:pt>
                <c:pt idx="62">
                  <c:v>0.56908337377673079</c:v>
                </c:pt>
                <c:pt idx="63">
                  <c:v>0.55182118426796889</c:v>
                </c:pt>
                <c:pt idx="64">
                  <c:v>0.53481968212685094</c:v>
                </c:pt>
                <c:pt idx="65">
                  <c:v>0.5181026700793897</c:v>
                </c:pt>
                <c:pt idx="66">
                  <c:v>0.50169045525335632</c:v>
                </c:pt>
                <c:pt idx="67">
                  <c:v>0.48560014844113075</c:v>
                </c:pt>
                <c:pt idx="68">
                  <c:v>0.46984594590040563</c:v>
                </c:pt>
                <c:pt idx="69">
                  <c:v>0.45443939376868664</c:v>
                </c:pt>
                <c:pt idx="70">
                  <c:v>0.43938963535936082</c:v>
                </c:pt>
                <c:pt idx="71">
                  <c:v>0.42470364175700104</c:v>
                </c:pt>
                <c:pt idx="72">
                  <c:v>0.41038642624419686</c:v>
                </c:pt>
                <c:pt idx="73">
                  <c:v>0.39644124317725671</c:v>
                </c:pt>
                <c:pt idx="74">
                  <c:v>0.38286977198859223</c:v>
                </c:pt>
                <c:pt idx="75">
                  <c:v>0.36967228703372873</c:v>
                </c:pt>
                <c:pt idx="76">
                  <c:v>0.35684781402432941</c:v>
                </c:pt>
                <c:pt idx="77">
                  <c:v>0.3443942737985044</c:v>
                </c:pt>
                <c:pt idx="78">
                  <c:v>0.33230861417863961</c:v>
                </c:pt>
                <c:pt idx="79">
                  <c:v>0.32058693065726562</c:v>
                </c:pt>
                <c:pt idx="80">
                  <c:v>0.30922457663498915</c:v>
                </c:pt>
                <c:pt idx="81">
                  <c:v>0.2982162639128062</c:v>
                </c:pt>
                <c:pt idx="82">
                  <c:v>0.2875561541155392</c:v>
                </c:pt>
                <c:pt idx="83">
                  <c:v>0.27723794169478005</c:v>
                </c:pt>
                <c:pt idx="84">
                  <c:v>0.26725492912948856</c:v>
                </c:pt>
                <c:pt idx="85">
                  <c:v>0.25760009491103336</c:v>
                </c:pt>
                <c:pt idx="86">
                  <c:v>0.24826615486756987</c:v>
                </c:pt>
                <c:pt idx="87">
                  <c:v>0.23924561735071789</c:v>
                </c:pt>
                <c:pt idx="88">
                  <c:v>0.23053083277590697</c:v>
                </c:pt>
                <c:pt idx="89">
                  <c:v>0.22211403797681689</c:v>
                </c:pt>
                <c:pt idx="90">
                  <c:v>0.21398739580426548</c:v>
                </c:pt>
                <c:pt idx="91">
                  <c:v>0.20614303037088363</c:v>
                </c:pt>
                <c:pt idx="92">
                  <c:v>0.19857305831507147</c:v>
                </c:pt>
                <c:pt idx="93">
                  <c:v>0.19126961643115195</c:v>
                </c:pt>
                <c:pt idx="94">
                  <c:v>0.18422488598737177</c:v>
                </c:pt>
                <c:pt idx="95">
                  <c:v>0.17743111402947614</c:v>
                </c:pt>
                <c:pt idx="96">
                  <c:v>0.17088063194500649</c:v>
                </c:pt>
                <c:pt idx="97">
                  <c:v>0.1645658715422284</c:v>
                </c:pt>
                <c:pt idx="98">
                  <c:v>0.158479378877664</c:v>
                </c:pt>
                <c:pt idx="99">
                  <c:v>0.15261382604754539</c:v>
                </c:pt>
                <c:pt idx="100">
                  <c:v>0.1469620211410812</c:v>
                </c:pt>
                <c:pt idx="101">
                  <c:v>0.14151691653718343</c:v>
                </c:pt>
                <c:pt idx="102">
                  <c:v>0.13627161571119314</c:v>
                </c:pt>
                <c:pt idx="103">
                  <c:v>0.13121937870410547</c:v>
                </c:pt>
                <c:pt idx="104">
                  <c:v>0.12635362639378214</c:v>
                </c:pt>
                <c:pt idx="105">
                  <c:v>0.12166794369558591</c:v>
                </c:pt>
                <c:pt idx="106">
                  <c:v>0.1171560818087299</c:v>
                </c:pt>
                <c:pt idx="107">
                  <c:v>0.11281195961434248</c:v>
                </c:pt>
                <c:pt idx="108">
                  <c:v>0.10862966432175736</c:v>
                </c:pt>
                <c:pt idx="109">
                  <c:v>0.10460345145079364</c:v>
                </c:pt>
                <c:pt idx="110">
                  <c:v>0.10072774422974216</c:v>
                </c:pt>
                <c:pt idx="111">
                  <c:v>9.6997132481378215E-2</c:v>
                </c:pt>
                <c:pt idx="112">
                  <c:v>9.3406371062523794E-2</c:v>
                </c:pt>
                <c:pt idx="113">
                  <c:v>8.9950377916450303E-2</c:v>
                </c:pt>
                <c:pt idx="114">
                  <c:v>8.662423179169941E-2</c:v>
                </c:pt>
                <c:pt idx="115">
                  <c:v>8.342316967566514E-2</c:v>
                </c:pt>
                <c:pt idx="116">
                  <c:v>8.0342583986495644E-2</c:v>
                </c:pt>
                <c:pt idx="117">
                  <c:v>7.7378019562494696E-2</c:v>
                </c:pt>
                <c:pt idx="118">
                  <c:v>7.4525170484208453E-2</c:v>
                </c:pt>
                <c:pt idx="119">
                  <c:v>7.1779876760735356E-2</c:v>
                </c:pt>
                <c:pt idx="120">
                  <c:v>6.913812090847285E-2</c:v>
                </c:pt>
                <c:pt idx="121">
                  <c:v>6.6596024447487134E-2</c:v>
                </c:pt>
                <c:pt idx="122">
                  <c:v>6.4149844337936746E-2</c:v>
                </c:pt>
                <c:pt idx="123">
                  <c:v>6.1795969376475426E-2</c:v>
                </c:pt>
                <c:pt idx="124">
                  <c:v>5.9530916570285558E-2</c:v>
                </c:pt>
                <c:pt idx="125">
                  <c:v>5.7351327504328219E-2</c:v>
                </c:pt>
                <c:pt idx="126">
                  <c:v>5.5253964715525565E-2</c:v>
                </c:pt>
                <c:pt idx="127">
                  <c:v>5.323570808589629E-2</c:v>
                </c:pt>
                <c:pt idx="128">
                  <c:v>5.1293551265133026E-2</c:v>
                </c:pt>
                <c:pt idx="129">
                  <c:v>4.9424598131725818E-2</c:v>
                </c:pt>
                <c:pt idx="130">
                  <c:v>4.7626059300486863E-2</c:v>
                </c:pt>
                <c:pt idx="131">
                  <c:v>4.5895248683205617E-2</c:v>
                </c:pt>
                <c:pt idx="132">
                  <c:v>4.422958010815109E-2</c:v>
                </c:pt>
                <c:pt idx="133">
                  <c:v>4.2626564003227098E-2</c:v>
                </c:pt>
                <c:pt idx="134">
                  <c:v>4.1083804146770306E-2</c:v>
                </c:pt>
                <c:pt idx="135">
                  <c:v>3.9598994489249001E-2</c:v>
                </c:pt>
                <c:pt idx="136">
                  <c:v>3.8169916048467152E-2</c:v>
                </c:pt>
                <c:pt idx="137">
                  <c:v>3.6794433880294609E-2</c:v>
                </c:pt>
                <c:pt idx="138">
                  <c:v>3.5470494126425535E-2</c:v>
                </c:pt>
                <c:pt idx="139">
                  <c:v>3.4196121140205392E-2</c:v>
                </c:pt>
                <c:pt idx="140">
                  <c:v>3.2969414691159098E-2</c:v>
                </c:pt>
                <c:pt idx="141">
                  <c:v>3.1788547248491991E-2</c:v>
                </c:pt>
                <c:pt idx="142">
                  <c:v>3.0651761343517964E-2</c:v>
                </c:pt>
                <c:pt idx="143">
                  <c:v>2.9557367010690939E-2</c:v>
                </c:pt>
                <c:pt idx="144">
                  <c:v>2.8503739306672958E-2</c:v>
                </c:pt>
                <c:pt idx="145">
                  <c:v>2.7489315906661354E-2</c:v>
                </c:pt>
                <c:pt idx="146">
                  <c:v>2.6512594777014748E-2</c:v>
                </c:pt>
                <c:pt idx="147">
                  <c:v>2.5572131923062232E-2</c:v>
                </c:pt>
                <c:pt idx="148">
                  <c:v>2.4666539210846047E-2</c:v>
                </c:pt>
                <c:pt idx="149">
                  <c:v>2.3794482261436462E-2</c:v>
                </c:pt>
              </c:numCache>
            </c:numRef>
          </c:val>
          <c:smooth val="0"/>
        </c:ser>
        <c:ser>
          <c:idx val="2"/>
          <c:order val="2"/>
          <c:tx>
            <c:v>Stdev .25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'Log-Norm 1'!$P$7:$P$156</c:f>
              <c:numCache>
                <c:formatCode>_(* #,##0.00_);_(* \(#,##0.00\);_(* "-"??_);_(@_)</c:formatCode>
                <c:ptCount val="1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0.12000000000000001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0.19999999999999998</c:v>
                </c:pt>
                <c:pt idx="10">
                  <c:v>0.21999999999999997</c:v>
                </c:pt>
                <c:pt idx="11">
                  <c:v>0.23999999999999996</c:v>
                </c:pt>
                <c:pt idx="12">
                  <c:v>0.25999999999999995</c:v>
                </c:pt>
                <c:pt idx="13">
                  <c:v>0.27999999999999997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0.36000000000000004</c:v>
                </c:pt>
                <c:pt idx="18">
                  <c:v>0.38000000000000006</c:v>
                </c:pt>
                <c:pt idx="19">
                  <c:v>0.40000000000000008</c:v>
                </c:pt>
                <c:pt idx="20">
                  <c:v>0.4200000000000001</c:v>
                </c:pt>
                <c:pt idx="21">
                  <c:v>0.44000000000000011</c:v>
                </c:pt>
                <c:pt idx="22">
                  <c:v>0.46000000000000013</c:v>
                </c:pt>
                <c:pt idx="23">
                  <c:v>0.48000000000000015</c:v>
                </c:pt>
                <c:pt idx="24">
                  <c:v>0.50000000000000011</c:v>
                </c:pt>
                <c:pt idx="25">
                  <c:v>0.52000000000000013</c:v>
                </c:pt>
                <c:pt idx="26">
                  <c:v>0.54000000000000015</c:v>
                </c:pt>
                <c:pt idx="27">
                  <c:v>0.56000000000000016</c:v>
                </c:pt>
                <c:pt idx="28">
                  <c:v>0.58000000000000018</c:v>
                </c:pt>
                <c:pt idx="29">
                  <c:v>0.6000000000000002</c:v>
                </c:pt>
                <c:pt idx="30">
                  <c:v>0.62000000000000022</c:v>
                </c:pt>
                <c:pt idx="31">
                  <c:v>0.64000000000000024</c:v>
                </c:pt>
                <c:pt idx="32">
                  <c:v>0.66000000000000025</c:v>
                </c:pt>
                <c:pt idx="33">
                  <c:v>0.68000000000000027</c:v>
                </c:pt>
                <c:pt idx="34">
                  <c:v>0.70000000000000029</c:v>
                </c:pt>
                <c:pt idx="35">
                  <c:v>0.72000000000000031</c:v>
                </c:pt>
                <c:pt idx="36">
                  <c:v>0.74000000000000032</c:v>
                </c:pt>
                <c:pt idx="37">
                  <c:v>0.76000000000000034</c:v>
                </c:pt>
                <c:pt idx="38">
                  <c:v>0.78000000000000036</c:v>
                </c:pt>
                <c:pt idx="39">
                  <c:v>0.80000000000000038</c:v>
                </c:pt>
                <c:pt idx="40">
                  <c:v>0.8200000000000004</c:v>
                </c:pt>
                <c:pt idx="41">
                  <c:v>0.84000000000000041</c:v>
                </c:pt>
                <c:pt idx="42">
                  <c:v>0.86000000000000043</c:v>
                </c:pt>
                <c:pt idx="43">
                  <c:v>0.88000000000000045</c:v>
                </c:pt>
                <c:pt idx="44">
                  <c:v>0.90000000000000047</c:v>
                </c:pt>
                <c:pt idx="45">
                  <c:v>0.92000000000000048</c:v>
                </c:pt>
                <c:pt idx="46">
                  <c:v>0.9400000000000005</c:v>
                </c:pt>
                <c:pt idx="47">
                  <c:v>0.96000000000000052</c:v>
                </c:pt>
                <c:pt idx="48">
                  <c:v>0.98000000000000054</c:v>
                </c:pt>
                <c:pt idx="49">
                  <c:v>1.0000000000000004</c:v>
                </c:pt>
                <c:pt idx="50">
                  <c:v>1.0200000000000005</c:v>
                </c:pt>
                <c:pt idx="51">
                  <c:v>1.0400000000000005</c:v>
                </c:pt>
                <c:pt idx="52">
                  <c:v>1.0600000000000005</c:v>
                </c:pt>
                <c:pt idx="53">
                  <c:v>1.0800000000000005</c:v>
                </c:pt>
                <c:pt idx="54">
                  <c:v>1.1000000000000005</c:v>
                </c:pt>
                <c:pt idx="55">
                  <c:v>1.1200000000000006</c:v>
                </c:pt>
                <c:pt idx="56">
                  <c:v>1.1400000000000006</c:v>
                </c:pt>
                <c:pt idx="57">
                  <c:v>1.1600000000000006</c:v>
                </c:pt>
                <c:pt idx="58">
                  <c:v>1.1800000000000006</c:v>
                </c:pt>
                <c:pt idx="59">
                  <c:v>1.2000000000000006</c:v>
                </c:pt>
                <c:pt idx="60">
                  <c:v>1.2200000000000006</c:v>
                </c:pt>
                <c:pt idx="61">
                  <c:v>1.2400000000000007</c:v>
                </c:pt>
                <c:pt idx="62">
                  <c:v>1.2600000000000007</c:v>
                </c:pt>
                <c:pt idx="63">
                  <c:v>1.2800000000000007</c:v>
                </c:pt>
                <c:pt idx="64">
                  <c:v>1.3000000000000007</c:v>
                </c:pt>
                <c:pt idx="65">
                  <c:v>1.3200000000000007</c:v>
                </c:pt>
                <c:pt idx="66">
                  <c:v>1.3400000000000007</c:v>
                </c:pt>
                <c:pt idx="67">
                  <c:v>1.3600000000000008</c:v>
                </c:pt>
                <c:pt idx="68">
                  <c:v>1.3800000000000008</c:v>
                </c:pt>
                <c:pt idx="69">
                  <c:v>1.4000000000000008</c:v>
                </c:pt>
                <c:pt idx="70">
                  <c:v>1.4200000000000008</c:v>
                </c:pt>
                <c:pt idx="71">
                  <c:v>1.4400000000000008</c:v>
                </c:pt>
                <c:pt idx="72">
                  <c:v>1.4600000000000009</c:v>
                </c:pt>
                <c:pt idx="73">
                  <c:v>1.4800000000000009</c:v>
                </c:pt>
                <c:pt idx="74">
                  <c:v>1.5000000000000009</c:v>
                </c:pt>
                <c:pt idx="75">
                  <c:v>1.5200000000000009</c:v>
                </c:pt>
                <c:pt idx="76">
                  <c:v>1.5400000000000009</c:v>
                </c:pt>
                <c:pt idx="77">
                  <c:v>1.5600000000000009</c:v>
                </c:pt>
                <c:pt idx="78">
                  <c:v>1.580000000000001</c:v>
                </c:pt>
                <c:pt idx="79">
                  <c:v>1.600000000000001</c:v>
                </c:pt>
                <c:pt idx="80">
                  <c:v>1.620000000000001</c:v>
                </c:pt>
                <c:pt idx="81">
                  <c:v>1.640000000000001</c:v>
                </c:pt>
                <c:pt idx="82">
                  <c:v>1.660000000000001</c:v>
                </c:pt>
                <c:pt idx="83">
                  <c:v>1.680000000000001</c:v>
                </c:pt>
                <c:pt idx="84">
                  <c:v>1.7000000000000011</c:v>
                </c:pt>
                <c:pt idx="85">
                  <c:v>1.7200000000000011</c:v>
                </c:pt>
                <c:pt idx="86">
                  <c:v>1.7400000000000011</c:v>
                </c:pt>
                <c:pt idx="87">
                  <c:v>1.7600000000000011</c:v>
                </c:pt>
                <c:pt idx="88">
                  <c:v>1.7800000000000011</c:v>
                </c:pt>
                <c:pt idx="89">
                  <c:v>1.8000000000000012</c:v>
                </c:pt>
                <c:pt idx="90">
                  <c:v>1.8200000000000012</c:v>
                </c:pt>
                <c:pt idx="91">
                  <c:v>1.8400000000000012</c:v>
                </c:pt>
                <c:pt idx="92">
                  <c:v>1.8600000000000012</c:v>
                </c:pt>
                <c:pt idx="93">
                  <c:v>1.8800000000000012</c:v>
                </c:pt>
                <c:pt idx="94">
                  <c:v>1.9000000000000012</c:v>
                </c:pt>
                <c:pt idx="95">
                  <c:v>1.9200000000000013</c:v>
                </c:pt>
                <c:pt idx="96">
                  <c:v>1.9400000000000013</c:v>
                </c:pt>
                <c:pt idx="97">
                  <c:v>1.9600000000000013</c:v>
                </c:pt>
                <c:pt idx="98">
                  <c:v>1.9800000000000013</c:v>
                </c:pt>
                <c:pt idx="99">
                  <c:v>2.0000000000000013</c:v>
                </c:pt>
                <c:pt idx="100">
                  <c:v>2.0200000000000014</c:v>
                </c:pt>
                <c:pt idx="101">
                  <c:v>2.0400000000000014</c:v>
                </c:pt>
                <c:pt idx="102">
                  <c:v>2.0600000000000014</c:v>
                </c:pt>
                <c:pt idx="103">
                  <c:v>2.0800000000000014</c:v>
                </c:pt>
                <c:pt idx="104">
                  <c:v>2.1000000000000014</c:v>
                </c:pt>
                <c:pt idx="105">
                  <c:v>2.1200000000000014</c:v>
                </c:pt>
                <c:pt idx="106">
                  <c:v>2.1400000000000015</c:v>
                </c:pt>
                <c:pt idx="107">
                  <c:v>2.1600000000000015</c:v>
                </c:pt>
                <c:pt idx="108">
                  <c:v>2.1800000000000015</c:v>
                </c:pt>
                <c:pt idx="109">
                  <c:v>2.2000000000000015</c:v>
                </c:pt>
                <c:pt idx="110">
                  <c:v>2.2200000000000015</c:v>
                </c:pt>
                <c:pt idx="111">
                  <c:v>2.2400000000000015</c:v>
                </c:pt>
                <c:pt idx="112">
                  <c:v>2.2600000000000016</c:v>
                </c:pt>
                <c:pt idx="113">
                  <c:v>2.2800000000000016</c:v>
                </c:pt>
                <c:pt idx="114">
                  <c:v>2.3000000000000016</c:v>
                </c:pt>
                <c:pt idx="115">
                  <c:v>2.3200000000000016</c:v>
                </c:pt>
                <c:pt idx="116">
                  <c:v>2.3400000000000016</c:v>
                </c:pt>
                <c:pt idx="117">
                  <c:v>2.3600000000000017</c:v>
                </c:pt>
                <c:pt idx="118">
                  <c:v>2.3800000000000017</c:v>
                </c:pt>
                <c:pt idx="119">
                  <c:v>2.4000000000000017</c:v>
                </c:pt>
                <c:pt idx="120">
                  <c:v>2.4200000000000017</c:v>
                </c:pt>
                <c:pt idx="121">
                  <c:v>2.4400000000000017</c:v>
                </c:pt>
                <c:pt idx="122">
                  <c:v>2.4600000000000017</c:v>
                </c:pt>
                <c:pt idx="123">
                  <c:v>2.4800000000000018</c:v>
                </c:pt>
                <c:pt idx="124">
                  <c:v>2.5000000000000018</c:v>
                </c:pt>
                <c:pt idx="125">
                  <c:v>2.5200000000000018</c:v>
                </c:pt>
                <c:pt idx="126">
                  <c:v>2.5400000000000018</c:v>
                </c:pt>
                <c:pt idx="127">
                  <c:v>2.5600000000000018</c:v>
                </c:pt>
                <c:pt idx="128">
                  <c:v>2.5800000000000018</c:v>
                </c:pt>
                <c:pt idx="129">
                  <c:v>2.6000000000000019</c:v>
                </c:pt>
                <c:pt idx="130">
                  <c:v>2.6200000000000019</c:v>
                </c:pt>
                <c:pt idx="131">
                  <c:v>2.6400000000000019</c:v>
                </c:pt>
                <c:pt idx="132">
                  <c:v>2.6600000000000019</c:v>
                </c:pt>
                <c:pt idx="133">
                  <c:v>2.6800000000000019</c:v>
                </c:pt>
                <c:pt idx="134">
                  <c:v>2.700000000000002</c:v>
                </c:pt>
                <c:pt idx="135">
                  <c:v>2.720000000000002</c:v>
                </c:pt>
                <c:pt idx="136">
                  <c:v>2.740000000000002</c:v>
                </c:pt>
                <c:pt idx="137">
                  <c:v>2.760000000000002</c:v>
                </c:pt>
                <c:pt idx="138">
                  <c:v>2.780000000000002</c:v>
                </c:pt>
                <c:pt idx="139">
                  <c:v>2.800000000000002</c:v>
                </c:pt>
                <c:pt idx="140">
                  <c:v>2.8200000000000021</c:v>
                </c:pt>
                <c:pt idx="141">
                  <c:v>2.8400000000000021</c:v>
                </c:pt>
                <c:pt idx="142">
                  <c:v>2.8600000000000021</c:v>
                </c:pt>
                <c:pt idx="143">
                  <c:v>2.8800000000000021</c:v>
                </c:pt>
                <c:pt idx="144">
                  <c:v>2.9000000000000021</c:v>
                </c:pt>
                <c:pt idx="145">
                  <c:v>2.9200000000000021</c:v>
                </c:pt>
                <c:pt idx="146">
                  <c:v>2.9400000000000022</c:v>
                </c:pt>
                <c:pt idx="147">
                  <c:v>2.9600000000000022</c:v>
                </c:pt>
                <c:pt idx="148">
                  <c:v>2.9800000000000022</c:v>
                </c:pt>
                <c:pt idx="149">
                  <c:v>3.0000000000000022</c:v>
                </c:pt>
              </c:numCache>
            </c:numRef>
          </c:cat>
          <c:val>
            <c:numRef>
              <c:f>'Log-Norm 1'!$S$7:$S$156</c:f>
              <c:numCache>
                <c:formatCode>0.0000</c:formatCode>
                <c:ptCount val="150"/>
                <c:pt idx="0">
                  <c:v>5.3785117474706309E-52</c:v>
                </c:pt>
                <c:pt idx="1">
                  <c:v>4.0044942792791404E-35</c:v>
                </c:pt>
                <c:pt idx="2">
                  <c:v>8.4007851025642727E-27</c:v>
                </c:pt>
                <c:pt idx="3">
                  <c:v>1.3674257363061183E-21</c:v>
                </c:pt>
                <c:pt idx="4">
                  <c:v>6.0574426797622326E-18</c:v>
                </c:pt>
                <c:pt idx="5">
                  <c:v>3.1971380668027587E-15</c:v>
                </c:pt>
                <c:pt idx="6">
                  <c:v>4.2303163658997602E-13</c:v>
                </c:pt>
                <c:pt idx="7">
                  <c:v>2.1415604475463927E-11</c:v>
                </c:pt>
                <c:pt idx="8">
                  <c:v>5.3856391482890164E-10</c:v>
                </c:pt>
                <c:pt idx="9">
                  <c:v>7.9863706932702804E-9</c:v>
                </c:pt>
                <c:pt idx="10">
                  <c:v>7.8577631446879974E-8</c:v>
                </c:pt>
                <c:pt idx="11">
                  <c:v>5.5805039962820883E-7</c:v>
                </c:pt>
                <c:pt idx="12">
                  <c:v>3.0437208459722493E-6</c:v>
                </c:pt>
                <c:pt idx="13">
                  <c:v>1.3360454237057682E-5</c:v>
                </c:pt>
                <c:pt idx="14">
                  <c:v>4.8932171388010749E-5</c:v>
                </c:pt>
                <c:pt idx="15">
                  <c:v>1.5382518317514068E-4</c:v>
                </c:pt>
                <c:pt idx="16">
                  <c:v>4.2455168930933862E-4</c:v>
                </c:pt>
                <c:pt idx="17">
                  <c:v>1.0476946529544547E-3</c:v>
                </c:pt>
                <c:pt idx="18">
                  <c:v>2.3465457428639529E-3</c:v>
                </c:pt>
                <c:pt idx="19">
                  <c:v>4.8292549264143626E-3</c:v>
                </c:pt>
                <c:pt idx="20">
                  <c:v>9.2271829387286074E-3</c:v>
                </c:pt>
                <c:pt idx="21">
                  <c:v>1.651087284106325E-2</c:v>
                </c:pt>
                <c:pt idx="22">
                  <c:v>2.7873159732338417E-2</c:v>
                </c:pt>
                <c:pt idx="23">
                  <c:v>4.467411639034749E-2</c:v>
                </c:pt>
                <c:pt idx="24">
                  <c:v>6.8349495096432303E-2</c:v>
                </c:pt>
                <c:pt idx="25">
                  <c:v>0.10029130247511228</c:v>
                </c:pt>
                <c:pt idx="26">
                  <c:v>0.14171448705463083</c:v>
                </c:pt>
                <c:pt idx="27">
                  <c:v>0.19352635459467382</c:v>
                </c:pt>
                <c:pt idx="28">
                  <c:v>0.25621494395645911</c:v>
                </c:pt>
                <c:pt idx="29">
                  <c:v>0.32976958637923814</c:v>
                </c:pt>
                <c:pt idx="30">
                  <c:v>0.41364209370945609</c:v>
                </c:pt>
                <c:pt idx="31">
                  <c:v>0.50675152046203087</c:v>
                </c:pt>
                <c:pt idx="32">
                  <c:v>0.60753019488488624</c:v>
                </c:pt>
                <c:pt idx="33">
                  <c:v>0.71400445003409108</c:v>
                </c:pt>
                <c:pt idx="34">
                  <c:v>0.82390062817864362</c:v>
                </c:pt>
                <c:pt idx="35">
                  <c:v>0.93476559538208881</c:v>
                </c:pt>
                <c:pt idx="36">
                  <c:v>1.0440910575117186</c:v>
                </c:pt>
                <c:pt idx="37">
                  <c:v>1.1494321242198937</c:v>
                </c:pt>
                <c:pt idx="38">
                  <c:v>1.2485124600426887</c:v>
                </c:pt>
                <c:pt idx="39">
                  <c:v>1.3393106258789984</c:v>
                </c:pt>
                <c:pt idx="40">
                  <c:v>1.4201245314840039</c:v>
                </c:pt>
                <c:pt idx="41">
                  <c:v>1.489613046939908</c:v>
                </c:pt>
                <c:pt idx="42">
                  <c:v>1.5468155985600076</c:v>
                </c:pt>
                <c:pt idx="43">
                  <c:v>1.591151920859798</c:v>
                </c:pt>
                <c:pt idx="44">
                  <c:v>1.6224050344461873</c:v>
                </c:pt>
                <c:pt idx="45">
                  <c:v>1.6406910010172575</c:v>
                </c:pt>
                <c:pt idx="46">
                  <c:v>1.6464191326842836</c:v>
                </c:pt>
                <c:pt idx="47">
                  <c:v>1.640246180353828</c:v>
                </c:pt>
                <c:pt idx="48">
                  <c:v>1.6230276750421924</c:v>
                </c:pt>
                <c:pt idx="49">
                  <c:v>1.5957691216057301</c:v>
                </c:pt>
                <c:pt idx="50">
                  <c:v>1.5595792108422415</c:v>
                </c:pt>
                <c:pt idx="51">
                  <c:v>1.5156266746092422</c:v>
                </c:pt>
                <c:pt idx="52">
                  <c:v>1.4651018973561696</c:v>
                </c:pt>
                <c:pt idx="53">
                  <c:v>1.4091839415135645</c:v>
                </c:pt>
                <c:pt idx="54">
                  <c:v>1.3490132578895828</c:v>
                </c:pt>
                <c:pt idx="55">
                  <c:v>1.285670041215579</c:v>
                </c:pt>
                <c:pt idx="56">
                  <c:v>1.220157954315402</c:v>
                </c:pt>
                <c:pt idx="57">
                  <c:v>1.1533927765590435</c:v>
                </c:pt>
                <c:pt idx="58">
                  <c:v>1.0861954250032999</c:v>
                </c:pt>
                <c:pt idx="59">
                  <c:v>1.0192887402168018</c:v>
                </c:pt>
                <c:pt idx="60">
                  <c:v>0.953297413188819</c:v>
                </c:pt>
                <c:pt idx="61">
                  <c:v>0.88875044529702218</c:v>
                </c:pt>
                <c:pt idx="62">
                  <c:v>0.82608557132482074</c:v>
                </c:pt>
                <c:pt idx="63">
                  <c:v>0.7656551284126456</c:v>
                </c:pt>
                <c:pt idx="64">
                  <c:v>0.70773291532030858</c:v>
                </c:pt>
                <c:pt idx="65">
                  <c:v>0.65252165146388708</c:v>
                </c:pt>
                <c:pt idx="66">
                  <c:v>0.60016071005198823</c:v>
                </c:pt>
                <c:pt idx="67">
                  <c:v>0.55073386151788584</c:v>
                </c:pt>
                <c:pt idx="68">
                  <c:v>0.50427682045856692</c:v>
                </c:pt>
                <c:pt idx="69">
                  <c:v>0.46078444031823901</c:v>
                </c:pt>
                <c:pt idx="70">
                  <c:v>0.42021744454363485</c:v>
                </c:pt>
                <c:pt idx="71">
                  <c:v>0.38250862078505699</c:v>
                </c:pt>
                <c:pt idx="72">
                  <c:v>0.34756843613464267</c:v>
                </c:pt>
                <c:pt idx="73">
                  <c:v>0.31529005681437994</c:v>
                </c:pt>
                <c:pt idx="74">
                  <c:v>0.28555377571925777</c:v>
                </c:pt>
                <c:pt idx="75">
                  <c:v>0.25823086642477933</c:v>
                </c:pt>
                <c:pt idx="76">
                  <c:v>0.23318689334397227</c:v>
                </c:pt>
                <c:pt idx="77">
                  <c:v>0.21028451531457046</c:v>
                </c:pt>
                <c:pt idx="78">
                  <c:v>0.18938582462199144</c:v>
                </c:pt>
                <c:pt idx="79">
                  <c:v>0.17035426587486785</c:v>
                </c:pt>
                <c:pt idx="80">
                  <c:v>0.15305617974260652</c:v>
                </c:pt>
                <c:pt idx="81">
                  <c:v>0.13736201576975188</c:v>
                </c:pt>
                <c:pt idx="82">
                  <c:v>0.12314725666705691</c:v>
                </c:pt>
                <c:pt idx="83">
                  <c:v>0.11029309395090039</c:v>
                </c:pt>
                <c:pt idx="84">
                  <c:v>9.8686891812220415E-2</c:v>
                </c:pt>
                <c:pt idx="85">
                  <c:v>8.8222472844904018E-2</c:v>
                </c:pt>
                <c:pt idx="86">
                  <c:v>7.880025590941761E-2</c:v>
                </c:pt>
                <c:pt idx="87">
                  <c:v>7.0327273070826327E-2</c:v>
                </c:pt>
                <c:pt idx="88">
                  <c:v>6.2717089320113689E-2</c:v>
                </c:pt>
                <c:pt idx="89">
                  <c:v>5.5889645726684881E-2</c:v>
                </c:pt>
                <c:pt idx="90">
                  <c:v>4.9771043819681053E-2</c:v>
                </c:pt>
                <c:pt idx="91">
                  <c:v>4.4293286380931142E-2</c:v>
                </c:pt>
                <c:pt idx="92">
                  <c:v>3.9393987464471432E-2</c:v>
                </c:pt>
                <c:pt idx="93">
                  <c:v>3.5016062337999768E-2</c:v>
                </c:pt>
                <c:pt idx="94">
                  <c:v>3.110740616438205E-2</c:v>
                </c:pt>
                <c:pt idx="95">
                  <c:v>2.762056859511617E-2</c:v>
                </c:pt>
                <c:pt idx="96">
                  <c:v>2.4512430017675238E-2</c:v>
                </c:pt>
                <c:pt idx="97">
                  <c:v>2.1743883967931216E-2</c:v>
                </c:pt>
                <c:pt idx="98">
                  <c:v>1.9279529169357035E-2</c:v>
                </c:pt>
                <c:pt idx="99">
                  <c:v>1.7087373774107902E-2</c:v>
                </c:pt>
                <c:pt idx="100">
                  <c:v>1.5138553639402483E-2</c:v>
                </c:pt>
                <c:pt idx="101">
                  <c:v>1.3407065858631979E-2</c:v>
                </c:pt>
                <c:pt idx="102">
                  <c:v>1.186951826413714E-2</c:v>
                </c:pt>
                <c:pt idx="103">
                  <c:v>1.0504895212638891E-2</c:v>
                </c:pt>
                <c:pt idx="104">
                  <c:v>9.2943396412396937E-3</c:v>
                </c:pt>
                <c:pt idx="105">
                  <c:v>8.2209511294167609E-3</c:v>
                </c:pt>
                <c:pt idx="106">
                  <c:v>7.2695995095245361E-3</c:v>
                </c:pt>
                <c:pt idx="107">
                  <c:v>6.4267534252977383E-3</c:v>
                </c:pt>
                <c:pt idx="108">
                  <c:v>5.6803231361903126E-3</c:v>
                </c:pt>
                <c:pt idx="109">
                  <c:v>5.0195167976989797E-3</c:v>
                </c:pt>
                <c:pt idx="110">
                  <c:v>4.4347094077205806E-3</c:v>
                </c:pt>
                <c:pt idx="111">
                  <c:v>3.9173235910164843E-3</c:v>
                </c:pt>
                <c:pt idx="112">
                  <c:v>3.4597213933604647E-3</c:v>
                </c:pt>
                <c:pt idx="113">
                  <c:v>3.0551062700147672E-3</c:v>
                </c:pt>
                <c:pt idx="114">
                  <c:v>2.697434476535168E-3</c:v>
                </c:pt>
                <c:pt idx="115">
                  <c:v>2.3813351008314569E-3</c:v>
                </c:pt>
                <c:pt idx="116">
                  <c:v>2.1020380116691583E-3</c:v>
                </c:pt>
                <c:pt idx="117">
                  <c:v>1.8553090385687871E-3</c:v>
                </c:pt>
                <c:pt idx="118">
                  <c:v>1.6373917398743471E-3</c:v>
                </c:pt>
                <c:pt idx="119">
                  <c:v>1.4449551584540985E-3</c:v>
                </c:pt>
                <c:pt idx="120">
                  <c:v>1.275047007149804E-3</c:v>
                </c:pt>
                <c:pt idx="121">
                  <c:v>1.12505176800142E-3</c:v>
                </c:pt>
                <c:pt idx="122">
                  <c:v>9.9265322991382433E-4</c:v>
                </c:pt>
                <c:pt idx="123">
                  <c:v>8.7580102841619924E-4</c:v>
                </c:pt>
                <c:pt idx="124">
                  <c:v>7.7268078822628728E-4</c:v>
                </c:pt>
                <c:pt idx="125">
                  <c:v>6.8168750429889664E-4</c:v>
                </c:pt>
                <c:pt idx="126">
                  <c:v>6.0140182981516558E-4</c:v>
                </c:pt>
                <c:pt idx="127">
                  <c:v>5.3056897012000563E-4</c:v>
                </c:pt>
                <c:pt idx="128">
                  <c:v>4.6807990995067399E-4</c:v>
                </c:pt>
                <c:pt idx="129">
                  <c:v>4.1295472746542952E-4</c:v>
                </c:pt>
                <c:pt idx="130">
                  <c:v>3.6432777265013285E-4</c:v>
                </c:pt>
                <c:pt idx="131">
                  <c:v>3.214345097435127E-4</c:v>
                </c:pt>
                <c:pt idx="132">
                  <c:v>2.8359984348259686E-4</c:v>
                </c:pt>
                <c:pt idx="133">
                  <c:v>2.5022776734028322E-4</c:v>
                </c:pt>
                <c:pt idx="134">
                  <c:v>2.2079218862315695E-4</c:v>
                </c:pt>
                <c:pt idx="135">
                  <c:v>1.948288004364535E-4</c:v>
                </c:pt>
                <c:pt idx="136">
                  <c:v>1.7192788422031892E-4</c:v>
                </c:pt>
                <c:pt idx="137">
                  <c:v>1.5172793893010504E-4</c:v>
                </c:pt>
                <c:pt idx="138">
                  <c:v>1.3391004408198578E-4</c:v>
                </c:pt>
                <c:pt idx="139">
                  <c:v>1.1819287391726578E-4</c:v>
                </c:pt>
                <c:pt idx="140">
                  <c:v>1.0432828895222128E-4</c:v>
                </c:pt>
                <c:pt idx="141">
                  <c:v>9.2097439267028997E-5</c:v>
                </c:pt>
                <c:pt idx="142">
                  <c:v>8.1307321132949347E-5</c:v>
                </c:pt>
                <c:pt idx="143">
                  <c:v>7.1787735060942163E-5</c:v>
                </c:pt>
                <c:pt idx="144">
                  <c:v>6.3388599150696027E-5</c:v>
                </c:pt>
                <c:pt idx="145">
                  <c:v>5.5977576794179371E-5</c:v>
                </c:pt>
                <c:pt idx="146">
                  <c:v>4.9437982404133616E-5</c:v>
                </c:pt>
                <c:pt idx="147">
                  <c:v>4.366693295196545E-5</c:v>
                </c:pt>
                <c:pt idx="148">
                  <c:v>3.8573716762710943E-5</c:v>
                </c:pt>
                <c:pt idx="149">
                  <c:v>3.4078354273923696E-5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86288"/>
        <c:axId val="684287856"/>
      </c:lineChart>
      <c:catAx>
        <c:axId val="684286288"/>
        <c:scaling>
          <c:orientation val="minMax"/>
        </c:scaling>
        <c:delete val="0"/>
        <c:axPos val="b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87856"/>
        <c:crosses val="autoZero"/>
        <c:auto val="1"/>
        <c:lblAlgn val="ctr"/>
        <c:lblOffset val="100"/>
        <c:noMultiLvlLbl val="0"/>
      </c:catAx>
      <c:valAx>
        <c:axId val="68428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86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'Simulation 1'!$E$5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'Simulation 1'!$D$6:$D$17</c:f>
              <c:strCache>
                <c:ptCount val="12"/>
                <c:pt idx="0">
                  <c:v>90</c:v>
                </c:pt>
                <c:pt idx="1">
                  <c:v>92</c:v>
                </c:pt>
                <c:pt idx="2">
                  <c:v>94</c:v>
                </c:pt>
                <c:pt idx="3">
                  <c:v>96</c:v>
                </c:pt>
                <c:pt idx="4">
                  <c:v>98</c:v>
                </c:pt>
                <c:pt idx="5">
                  <c:v>100</c:v>
                </c:pt>
                <c:pt idx="6">
                  <c:v>102</c:v>
                </c:pt>
                <c:pt idx="7">
                  <c:v>104</c:v>
                </c:pt>
                <c:pt idx="8">
                  <c:v>106</c:v>
                </c:pt>
                <c:pt idx="9">
                  <c:v>108</c:v>
                </c:pt>
                <c:pt idx="10">
                  <c:v>110</c:v>
                </c:pt>
                <c:pt idx="11">
                  <c:v>More</c:v>
                </c:pt>
              </c:strCache>
            </c:strRef>
          </c:cat>
          <c:val>
            <c:numRef>
              <c:f>'Simulation 1'!$E$6:$E$17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9</c:v>
                </c:pt>
                <c:pt idx="5">
                  <c:v>27</c:v>
                </c:pt>
                <c:pt idx="6">
                  <c:v>23</c:v>
                </c:pt>
                <c:pt idx="7">
                  <c:v>10</c:v>
                </c:pt>
                <c:pt idx="8">
                  <c:v>9</c:v>
                </c:pt>
                <c:pt idx="9">
                  <c:v>5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85896"/>
        <c:axId val="684289816"/>
      </c:barChart>
      <c:catAx>
        <c:axId val="684285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84289816"/>
        <c:crosses val="autoZero"/>
        <c:auto val="1"/>
        <c:lblAlgn val="ctr"/>
        <c:lblOffset val="100"/>
        <c:noMultiLvlLbl val="0"/>
      </c:catAx>
      <c:valAx>
        <c:axId val="684289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85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'Simulation 1'!$E$20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'Simulation 1'!$D$21:$D$44</c:f>
              <c:strCache>
                <c:ptCount val="24"/>
                <c:pt idx="0">
                  <c:v>0.24</c:v>
                </c:pt>
                <c:pt idx="1">
                  <c:v>0.26</c:v>
                </c:pt>
                <c:pt idx="2">
                  <c:v>0.28</c:v>
                </c:pt>
                <c:pt idx="3">
                  <c:v>0.3</c:v>
                </c:pt>
                <c:pt idx="4">
                  <c:v>0.32</c:v>
                </c:pt>
                <c:pt idx="5">
                  <c:v>0.34</c:v>
                </c:pt>
                <c:pt idx="6">
                  <c:v>0.36</c:v>
                </c:pt>
                <c:pt idx="7">
                  <c:v>0.38</c:v>
                </c:pt>
                <c:pt idx="8">
                  <c:v>0.4</c:v>
                </c:pt>
                <c:pt idx="9">
                  <c:v>0.42</c:v>
                </c:pt>
                <c:pt idx="10">
                  <c:v>0.44</c:v>
                </c:pt>
                <c:pt idx="11">
                  <c:v>0.46</c:v>
                </c:pt>
                <c:pt idx="12">
                  <c:v>0.48</c:v>
                </c:pt>
                <c:pt idx="13">
                  <c:v>0.5</c:v>
                </c:pt>
                <c:pt idx="14">
                  <c:v>0.52</c:v>
                </c:pt>
                <c:pt idx="15">
                  <c:v>0.54</c:v>
                </c:pt>
                <c:pt idx="16">
                  <c:v>0.56</c:v>
                </c:pt>
                <c:pt idx="17">
                  <c:v>0.58</c:v>
                </c:pt>
                <c:pt idx="18">
                  <c:v>0.6</c:v>
                </c:pt>
                <c:pt idx="19">
                  <c:v>0.62</c:v>
                </c:pt>
                <c:pt idx="20">
                  <c:v>0.64</c:v>
                </c:pt>
                <c:pt idx="21">
                  <c:v>0.66</c:v>
                </c:pt>
                <c:pt idx="22">
                  <c:v>0.68</c:v>
                </c:pt>
                <c:pt idx="23">
                  <c:v>More</c:v>
                </c:pt>
              </c:strCache>
            </c:strRef>
          </c:cat>
          <c:val>
            <c:numRef>
              <c:f>'Simulation 1'!$E$21:$E$44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  <c:pt idx="7">
                  <c:v>5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14</c:v>
                </c:pt>
                <c:pt idx="12">
                  <c:v>6</c:v>
                </c:pt>
                <c:pt idx="13">
                  <c:v>3</c:v>
                </c:pt>
                <c:pt idx="14">
                  <c:v>8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88640"/>
        <c:axId val="684289424"/>
      </c:barChart>
      <c:catAx>
        <c:axId val="68428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84289424"/>
        <c:crosses val="autoZero"/>
        <c:auto val="1"/>
        <c:lblAlgn val="ctr"/>
        <c:lblOffset val="100"/>
        <c:noMultiLvlLbl val="0"/>
      </c:catAx>
      <c:valAx>
        <c:axId val="684289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88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'Simulation 2'!$C$4:$C$28</c:f>
              <c:numCache>
                <c:formatCode>General</c:formatCode>
                <c:ptCount val="25"/>
                <c:pt idx="0">
                  <c:v>44.897771919432714</c:v>
                </c:pt>
                <c:pt idx="1">
                  <c:v>69.338015654305963</c:v>
                </c:pt>
                <c:pt idx="2">
                  <c:v>47.511754568579789</c:v>
                </c:pt>
                <c:pt idx="3">
                  <c:v>45.699202675077643</c:v>
                </c:pt>
                <c:pt idx="4">
                  <c:v>55.43056936871006</c:v>
                </c:pt>
                <c:pt idx="5">
                  <c:v>80.43397697579195</c:v>
                </c:pt>
                <c:pt idx="6">
                  <c:v>103.26067293595781</c:v>
                </c:pt>
                <c:pt idx="7">
                  <c:v>26.902463035875442</c:v>
                </c:pt>
                <c:pt idx="8">
                  <c:v>20.376755223265292</c:v>
                </c:pt>
                <c:pt idx="9">
                  <c:v>61.099361461407554</c:v>
                </c:pt>
                <c:pt idx="10">
                  <c:v>90.64821519451263</c:v>
                </c:pt>
                <c:pt idx="11">
                  <c:v>59.559307996178475</c:v>
                </c:pt>
                <c:pt idx="12">
                  <c:v>63.281588061837702</c:v>
                </c:pt>
                <c:pt idx="13">
                  <c:v>58.604764329206319</c:v>
                </c:pt>
                <c:pt idx="14">
                  <c:v>87.101397725967473</c:v>
                </c:pt>
                <c:pt idx="15">
                  <c:v>51.733861251893714</c:v>
                </c:pt>
                <c:pt idx="16">
                  <c:v>72.958361386783579</c:v>
                </c:pt>
                <c:pt idx="17">
                  <c:v>57.873951736320521</c:v>
                </c:pt>
                <c:pt idx="18">
                  <c:v>78.086865852410398</c:v>
                </c:pt>
                <c:pt idx="19">
                  <c:v>89.888635769254364</c:v>
                </c:pt>
                <c:pt idx="20">
                  <c:v>68.170914965277902</c:v>
                </c:pt>
                <c:pt idx="21">
                  <c:v>57.272576703699613</c:v>
                </c:pt>
                <c:pt idx="22">
                  <c:v>72.372639733489819</c:v>
                </c:pt>
                <c:pt idx="23">
                  <c:v>45.378080835056089</c:v>
                </c:pt>
                <c:pt idx="24">
                  <c:v>36.328156491271969</c:v>
                </c:pt>
              </c:numCache>
            </c:numRef>
          </c:xVal>
          <c:yVal>
            <c:numRef>
              <c:f>'Simulation 2'!$D$4:$D$28</c:f>
              <c:numCache>
                <c:formatCode>General</c:formatCode>
                <c:ptCount val="25"/>
                <c:pt idx="0">
                  <c:v>1.4999064852267546E-2</c:v>
                </c:pt>
                <c:pt idx="1">
                  <c:v>1.788721660862954E-2</c:v>
                </c:pt>
                <c:pt idx="2">
                  <c:v>1.6414073872550426E-2</c:v>
                </c:pt>
                <c:pt idx="3">
                  <c:v>1.5447442676130657E-2</c:v>
                </c:pt>
                <c:pt idx="4">
                  <c:v>1.9433237083525273E-2</c:v>
                </c:pt>
                <c:pt idx="5">
                  <c:v>1.1836052893740628E-2</c:v>
                </c:pt>
                <c:pt idx="6">
                  <c:v>1.9226937424627263E-3</c:v>
                </c:pt>
                <c:pt idx="7">
                  <c:v>5.0722057433812582E-3</c:v>
                </c:pt>
                <c:pt idx="8">
                  <c:v>2.8026981100182295E-3</c:v>
                </c:pt>
                <c:pt idx="9">
                  <c:v>1.9917001778385152E-2</c:v>
                </c:pt>
                <c:pt idx="10">
                  <c:v>6.1653388830000405E-3</c:v>
                </c:pt>
                <c:pt idx="11">
                  <c:v>1.9942272210438657E-2</c:v>
                </c:pt>
                <c:pt idx="12">
                  <c:v>1.9680404533246314E-2</c:v>
                </c:pt>
                <c:pt idx="13">
                  <c:v>1.9898634653547593E-2</c:v>
                </c:pt>
                <c:pt idx="14">
                  <c:v>7.9643654575911431E-3</c:v>
                </c:pt>
                <c:pt idx="15">
                  <c:v>1.8314134888312551E-2</c:v>
                </c:pt>
                <c:pt idx="16">
                  <c:v>1.6170450928507878E-2</c:v>
                </c:pt>
                <c:pt idx="17">
                  <c:v>1.9834728594252185E-2</c:v>
                </c:pt>
                <c:pt idx="18">
                  <c:v>1.3252233135633857E-2</c:v>
                </c:pt>
                <c:pt idx="19">
                  <c:v>6.530093665367053E-3</c:v>
                </c:pt>
                <c:pt idx="20">
                  <c:v>1.8350001532420328E-2</c:v>
                </c:pt>
                <c:pt idx="21">
                  <c:v>1.9762494513760415E-2</c:v>
                </c:pt>
                <c:pt idx="22">
                  <c:v>1.6473148715459483E-2</c:v>
                </c:pt>
                <c:pt idx="23">
                  <c:v>1.5269140367636987E-2</c:v>
                </c:pt>
                <c:pt idx="24">
                  <c:v>9.901034566490538E-3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88248"/>
        <c:axId val="684282368"/>
      </c:scatterChart>
      <c:valAx>
        <c:axId val="684288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82368"/>
        <c:crosses val="autoZero"/>
        <c:crossBetween val="midCat"/>
      </c:valAx>
      <c:valAx>
        <c:axId val="684282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88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Power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'Norm Power 1'!$C$17</c:f>
              <c:strCache>
                <c:ptCount val="1"/>
                <c:pt idx="0">
                  <c:v>power</c:v>
                </c:pt>
              </c:strCache>
            </c:strRef>
          </c:tx>
          <c:spPr>
            <a:ln w="28575">
              <a:noFill/>
            </a:ln>
          </c:spPr>
          <c:xVal>
            <c:numRef>
              <c:f>'Norm Power 1'!$A$18:$A$44</c:f>
              <c:numCache>
                <c:formatCode>0.0</c:formatCode>
                <c:ptCount val="27"/>
                <c:pt idx="0" formatCode="General">
                  <c:v>61.881967677699784</c:v>
                </c:pt>
                <c:pt idx="1">
                  <c:v>61.9</c:v>
                </c:pt>
                <c:pt idx="2">
                  <c:v>62</c:v>
                </c:pt>
                <c:pt idx="3">
                  <c:v>62.1</c:v>
                </c:pt>
                <c:pt idx="4">
                  <c:v>62.2</c:v>
                </c:pt>
                <c:pt idx="5">
                  <c:v>62.300000000000004</c:v>
                </c:pt>
                <c:pt idx="6">
                  <c:v>62.400000000000006</c:v>
                </c:pt>
                <c:pt idx="7">
                  <c:v>62.500000000000007</c:v>
                </c:pt>
                <c:pt idx="8">
                  <c:v>62.600000000000009</c:v>
                </c:pt>
                <c:pt idx="9">
                  <c:v>62.70000000000001</c:v>
                </c:pt>
                <c:pt idx="10">
                  <c:v>62.800000000000011</c:v>
                </c:pt>
                <c:pt idx="11">
                  <c:v>62.900000000000013</c:v>
                </c:pt>
                <c:pt idx="12">
                  <c:v>63.000000000000014</c:v>
                </c:pt>
                <c:pt idx="13">
                  <c:v>63.100000000000016</c:v>
                </c:pt>
                <c:pt idx="14">
                  <c:v>63.200000000000017</c:v>
                </c:pt>
                <c:pt idx="15">
                  <c:v>63.300000000000018</c:v>
                </c:pt>
                <c:pt idx="16">
                  <c:v>63.40000000000002</c:v>
                </c:pt>
                <c:pt idx="17">
                  <c:v>63.500000000000021</c:v>
                </c:pt>
                <c:pt idx="18">
                  <c:v>63.600000000000023</c:v>
                </c:pt>
                <c:pt idx="19">
                  <c:v>63.700000000000024</c:v>
                </c:pt>
                <c:pt idx="20">
                  <c:v>63.800000000000026</c:v>
                </c:pt>
                <c:pt idx="21">
                  <c:v>63.900000000000027</c:v>
                </c:pt>
                <c:pt idx="22">
                  <c:v>64.000000000000028</c:v>
                </c:pt>
                <c:pt idx="23">
                  <c:v>64.100000000000023</c:v>
                </c:pt>
                <c:pt idx="24">
                  <c:v>64.200000000000017</c:v>
                </c:pt>
                <c:pt idx="25">
                  <c:v>64.300000000000011</c:v>
                </c:pt>
                <c:pt idx="26">
                  <c:v>64.400000000000006</c:v>
                </c:pt>
              </c:numCache>
            </c:numRef>
          </c:xVal>
          <c:yVal>
            <c:numRef>
              <c:f>'Norm Power 1'!$C$18:$C$44</c:f>
              <c:numCache>
                <c:formatCode>General</c:formatCode>
                <c:ptCount val="27"/>
                <c:pt idx="0">
                  <c:v>0.5</c:v>
                </c:pt>
                <c:pt idx="1">
                  <c:v>0.50628722271363169</c:v>
                </c:pt>
                <c:pt idx="2">
                  <c:v>0.54108245151401213</c:v>
                </c:pt>
                <c:pt idx="3">
                  <c:v>0.57556556203662201</c:v>
                </c:pt>
                <c:pt idx="4">
                  <c:v>0.6094794636291665</c:v>
                </c:pt>
                <c:pt idx="5">
                  <c:v>0.64257989557419748</c:v>
                </c:pt>
                <c:pt idx="6">
                  <c:v>0.67464068048970938</c:v>
                </c:pt>
                <c:pt idx="7">
                  <c:v>0.70545830958483535</c:v>
                </c:pt>
                <c:pt idx="8">
                  <c:v>0.73485570683310075</c:v>
                </c:pt>
                <c:pt idx="9">
                  <c:v>0.76268506062450636</c:v>
                </c:pt>
                <c:pt idx="10">
                  <c:v>0.7888296573013085</c:v>
                </c:pt>
                <c:pt idx="11">
                  <c:v>0.81320469828716724</c:v>
                </c:pt>
                <c:pt idx="12">
                  <c:v>0.83575712842633698</c:v>
                </c:pt>
                <c:pt idx="13">
                  <c:v>0.85646454503368918</c:v>
                </c:pt>
                <c:pt idx="14">
                  <c:v>0.87533329280639538</c:v>
                </c:pt>
                <c:pt idx="15">
                  <c:v>0.89239587750344995</c:v>
                </c:pt>
                <c:pt idx="16">
                  <c:v>0.90770785013358879</c:v>
                </c:pt>
                <c:pt idx="17">
                  <c:v>0.92134432294089441</c:v>
                </c:pt>
                <c:pt idx="18">
                  <c:v>0.9333962790099416</c:v>
                </c:pt>
                <c:pt idx="19">
                  <c:v>0.94396682965700307</c:v>
                </c:pt>
                <c:pt idx="20">
                  <c:v>0.95316755920510676</c:v>
                </c:pt>
                <c:pt idx="21">
                  <c:v>0.96111507684284181</c:v>
                </c:pt>
                <c:pt idx="22">
                  <c:v>0.96792787178727413</c:v>
                </c:pt>
                <c:pt idx="23">
                  <c:v>0.97372354267822181</c:v>
                </c:pt>
                <c:pt idx="24">
                  <c:v>0.97861644668569792</c:v>
                </c:pt>
                <c:pt idx="25">
                  <c:v>0.9827157896658012</c:v>
                </c:pt>
                <c:pt idx="26">
                  <c:v>0.98612415702073897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80800"/>
        <c:axId val="684283936"/>
      </c:scatterChart>
      <c:valAx>
        <c:axId val="68428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83936"/>
        <c:crosses val="autoZero"/>
        <c:crossBetween val="midCat"/>
      </c:valAx>
      <c:valAx>
        <c:axId val="684283936"/>
        <c:scaling>
          <c:orientation val="minMax"/>
          <c:max val="1"/>
          <c:min val="0.5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2808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Outlier!$F$4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Outlier!$G$3:$I$3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Outlier!$G$4:$I$4</c:f>
              <c:numCache>
                <c:formatCode>General</c:formatCode>
                <c:ptCount val="3"/>
                <c:pt idx="0">
                  <c:v>8</c:v>
                </c:pt>
                <c:pt idx="1">
                  <c:v>3</c:v>
                </c:pt>
                <c:pt idx="2">
                  <c:v>125</c:v>
                </c:pt>
              </c:numCache>
            </c:numRef>
          </c:val>
        </c:ser>
        <c:ser>
          <c:idx val="1"/>
          <c:order val="1"/>
          <c:tx>
            <c:strRef>
              <c:f>Outlier!$F$5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Outlier!$G$3:$I$3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Outlier!$G$5:$I$5</c:f>
              <c:numCache>
                <c:formatCode>General</c:formatCode>
                <c:ptCount val="3"/>
                <c:pt idx="0">
                  <c:v>11</c:v>
                </c:pt>
                <c:pt idx="1">
                  <c:v>18.75</c:v>
                </c:pt>
                <c:pt idx="2">
                  <c:v>7.5</c:v>
                </c:pt>
              </c:numCache>
            </c:numRef>
          </c:val>
        </c:ser>
        <c:ser>
          <c:idx val="2"/>
          <c:order val="2"/>
          <c:tx>
            <c:strRef>
              <c:f>Outlier!$F$6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Outlier!$G$3:$I$3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Outlier!$G$6:$I$6</c:f>
              <c:numCache>
                <c:formatCode>General</c:formatCode>
                <c:ptCount val="3"/>
                <c:pt idx="0">
                  <c:v>16</c:v>
                </c:pt>
                <c:pt idx="1">
                  <c:v>5.25</c:v>
                </c:pt>
                <c:pt idx="2">
                  <c:v>17.5</c:v>
                </c:pt>
              </c:numCache>
            </c:numRef>
          </c:val>
        </c:ser>
        <c:ser>
          <c:idx val="3"/>
          <c:order val="3"/>
          <c:tx>
            <c:strRef>
              <c:f>Outlier!$F$7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Outlier!$G$8:$I$8</c:f>
                <c:numCache>
                  <c:formatCode>General</c:formatCode>
                  <c:ptCount val="3"/>
                  <c:pt idx="0">
                    <c:v>11</c:v>
                  </c:pt>
                  <c:pt idx="1">
                    <c:v>19</c:v>
                  </c:pt>
                  <c:pt idx="2">
                    <c:v>42.5</c:v>
                  </c:pt>
                </c:numCache>
              </c:numRef>
            </c:plus>
          </c:errBars>
          <c:cat>
            <c:strRef>
              <c:f>Outlier!$G$3:$I$3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Outlier!$G$7:$I$7</c:f>
              <c:numCache>
                <c:formatCode>General</c:formatCode>
                <c:ptCount val="3"/>
                <c:pt idx="0">
                  <c:v>13</c:v>
                </c:pt>
                <c:pt idx="1">
                  <c:v>26</c:v>
                </c:pt>
                <c:pt idx="2">
                  <c:v>27.5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281584"/>
        <c:axId val="68428276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Outlier!$G$15</c:f>
              <c:numCache>
                <c:formatCode>General</c:formatCode>
                <c:ptCount val="1"/>
                <c:pt idx="0">
                  <c:v>36.846153846153847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Outlier!$B$7</c:f>
              <c:numCache>
                <c:formatCode>General</c:formatCode>
                <c:ptCount val="1"/>
                <c:pt idx="0">
                  <c:v>95</c:v>
                </c:pt>
              </c:numCache>
            </c:numRef>
          </c:yVal>
          <c:smooth val="0"/>
        </c:ser>
        <c:ser>
          <c:idx val="6"/>
          <c:order val="6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Outlier!$H$15</c:f>
              <c:numCache>
                <c:formatCode>General</c:formatCode>
                <c:ptCount val="1"/>
                <c:pt idx="0">
                  <c:v>40.416666666666664</c:v>
                </c:pt>
              </c:numCache>
            </c:numRef>
          </c:yVal>
          <c:smooth val="0"/>
        </c:ser>
        <c:ser>
          <c:idx val="7"/>
          <c:order val="7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Outlier!$C$15</c:f>
              <c:numCache>
                <c:formatCode>General</c:formatCode>
                <c:ptCount val="1"/>
                <c:pt idx="0">
                  <c:v>125</c:v>
                </c:pt>
              </c:numCache>
            </c:numRef>
          </c:yVal>
          <c:smooth val="0"/>
        </c:ser>
        <c:ser>
          <c:idx val="8"/>
          <c:order val="8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Outlier!$C$16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3</c:v>
              </c:pt>
            </c:numLit>
          </c:xVal>
          <c:yVal>
            <c:numRef>
              <c:f>Outlier!$I$15</c:f>
              <c:numCache>
                <c:formatCode>General</c:formatCode>
                <c:ptCount val="1"/>
                <c:pt idx="0">
                  <c:v>148.90909090909091</c:v>
                </c:pt>
              </c:numCache>
            </c:numRef>
          </c:yVal>
          <c:smooth val="0"/>
        </c:ser>
        <c:ser>
          <c:idx val="10"/>
          <c:order val="10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3</c:v>
              </c:pt>
            </c:numLit>
          </c:xVal>
          <c:yVal>
            <c:numRef>
              <c:f>Outlier!$D$9</c:f>
              <c:numCache>
                <c:formatCode>General</c:formatCode>
                <c:ptCount val="1"/>
              </c:numCache>
            </c:numRef>
          </c:yVal>
          <c:smooth val="0"/>
        </c:ser>
        <c:ser>
          <c:idx val="11"/>
          <c:order val="11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3</c:v>
              </c:pt>
            </c:numLit>
          </c:xVal>
          <c:yVal>
            <c:numRef>
              <c:f>Outlier!$D$12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</c:ser>
        <c:ser>
          <c:idx val="12"/>
          <c:order val="12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3</c:v>
              </c:pt>
            </c:numLit>
          </c:xVal>
          <c:yVal>
            <c:numRef>
              <c:f>Outlier!$D$16</c:f>
              <c:numCache>
                <c:formatCode>General</c:formatCode>
                <c:ptCount val="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81584"/>
        <c:axId val="684282760"/>
      </c:scatterChart>
      <c:catAx>
        <c:axId val="68428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82760"/>
        <c:crosses val="autoZero"/>
        <c:auto val="1"/>
        <c:lblAlgn val="ctr"/>
        <c:lblOffset val="100"/>
        <c:noMultiLvlLbl val="0"/>
      </c:catAx>
      <c:valAx>
        <c:axId val="684282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81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Binomial Distribution (n = 20, p = .25)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'Binomial 1'!$B$3</c:f>
              <c:strCache>
                <c:ptCount val="1"/>
                <c:pt idx="0">
                  <c:v>f(x)</c:v>
                </c:pt>
              </c:strCache>
            </c:strRef>
          </c:tx>
          <c:invertIfNegative val="0"/>
          <c:cat>
            <c:numRef>
              <c:f>'Binomial 1'!$A$4:$A$24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'Binomial 1'!$B$4:$B$24</c:f>
              <c:numCache>
                <c:formatCode>General</c:formatCode>
                <c:ptCount val="21"/>
                <c:pt idx="0">
                  <c:v>3.1712119389339963E-3</c:v>
                </c:pt>
                <c:pt idx="1">
                  <c:v>2.1141412926226615E-2</c:v>
                </c:pt>
                <c:pt idx="2">
                  <c:v>6.6947807599717662E-2</c:v>
                </c:pt>
                <c:pt idx="3">
                  <c:v>0.13389561519943524</c:v>
                </c:pt>
                <c:pt idx="4">
                  <c:v>0.18968545486586663</c:v>
                </c:pt>
                <c:pt idx="5">
                  <c:v>0.20233115185692441</c:v>
                </c:pt>
                <c:pt idx="6">
                  <c:v>0.1686092932141037</c:v>
                </c:pt>
                <c:pt idx="7">
                  <c:v>0.11240619547606913</c:v>
                </c:pt>
                <c:pt idx="8">
                  <c:v>6.0886689216204062E-2</c:v>
                </c:pt>
                <c:pt idx="9">
                  <c:v>2.7060750762757369E-2</c:v>
                </c:pt>
                <c:pt idx="10">
                  <c:v>9.9222752796777041E-3</c:v>
                </c:pt>
                <c:pt idx="11">
                  <c:v>3.0067500847508173E-3</c:v>
                </c:pt>
                <c:pt idx="12">
                  <c:v>7.5168752118770586E-4</c:v>
                </c:pt>
                <c:pt idx="13">
                  <c:v>1.541923120385034E-4</c:v>
                </c:pt>
                <c:pt idx="14">
                  <c:v>2.5698718673083962E-5</c:v>
                </c:pt>
                <c:pt idx="15">
                  <c:v>3.42649582307786E-6</c:v>
                </c:pt>
                <c:pt idx="16">
                  <c:v>3.5692664823727645E-7</c:v>
                </c:pt>
                <c:pt idx="17">
                  <c:v>2.7994246920570738E-8</c:v>
                </c:pt>
                <c:pt idx="18">
                  <c:v>1.5552359400317114E-9</c:v>
                </c:pt>
                <c:pt idx="19">
                  <c:v>5.4569682106375856E-11</c:v>
                </c:pt>
                <c:pt idx="20">
                  <c:v>9.0949470177292824E-13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84720"/>
        <c:axId val="684285112"/>
      </c:barChart>
      <c:catAx>
        <c:axId val="68428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85112"/>
        <c:crosses val="autoZero"/>
        <c:auto val="1"/>
        <c:lblAlgn val="ctr"/>
        <c:lblOffset val="100"/>
        <c:noMultiLvlLbl val="0"/>
      </c:catAx>
      <c:valAx>
        <c:axId val="684285112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284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 Chart 2'!$B$3</c:f>
              <c:strCache>
                <c:ptCount val="1"/>
                <c:pt idx="0">
                  <c:v>Income</c:v>
                </c:pt>
              </c:strCache>
            </c:strRef>
          </c:tx>
          <c:marker>
            <c:symbol val="none"/>
          </c:marker>
          <c:val>
            <c:numRef>
              <c:f>'Line Chart 2'!$B$4:$B$13</c:f>
              <c:numCache>
                <c:formatCode>General</c:formatCode>
                <c:ptCount val="10"/>
                <c:pt idx="0">
                  <c:v>23500</c:v>
                </c:pt>
                <c:pt idx="1">
                  <c:v>24000</c:v>
                </c:pt>
                <c:pt idx="2">
                  <c:v>25000</c:v>
                </c:pt>
                <c:pt idx="3">
                  <c:v>26700</c:v>
                </c:pt>
                <c:pt idx="4">
                  <c:v>27500</c:v>
                </c:pt>
                <c:pt idx="5">
                  <c:v>29200</c:v>
                </c:pt>
                <c:pt idx="6">
                  <c:v>33000</c:v>
                </c:pt>
                <c:pt idx="7">
                  <c:v>35100</c:v>
                </c:pt>
                <c:pt idx="8">
                  <c:v>37400</c:v>
                </c:pt>
                <c:pt idx="9">
                  <c:v>39500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'Line Chart 2'!$C$3</c:f>
              <c:strCache>
                <c:ptCount val="1"/>
                <c:pt idx="0">
                  <c:v>Rent</c:v>
                </c:pt>
              </c:strCache>
            </c:strRef>
          </c:tx>
          <c:marker>
            <c:symbol val="none"/>
          </c:marker>
          <c:val>
            <c:numRef>
              <c:f>'Line Chart 2'!$C$4:$C$13</c:f>
              <c:numCache>
                <c:formatCode>General</c:formatCode>
                <c:ptCount val="10"/>
                <c:pt idx="0">
                  <c:v>6000</c:v>
                </c:pt>
                <c:pt idx="1">
                  <c:v>6500</c:v>
                </c:pt>
                <c:pt idx="2">
                  <c:v>7000</c:v>
                </c:pt>
                <c:pt idx="3">
                  <c:v>4500</c:v>
                </c:pt>
                <c:pt idx="4">
                  <c:v>6000</c:v>
                </c:pt>
                <c:pt idx="5">
                  <c:v>7500</c:v>
                </c:pt>
                <c:pt idx="6">
                  <c:v>8000</c:v>
                </c:pt>
                <c:pt idx="7">
                  <c:v>9000</c:v>
                </c:pt>
                <c:pt idx="8">
                  <c:v>7000</c:v>
                </c:pt>
                <c:pt idx="9">
                  <c:v>12000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308632"/>
        <c:axId val="684314512"/>
      </c:lineChart>
      <c:catAx>
        <c:axId val="684308632"/>
        <c:scaling>
          <c:orientation val="minMax"/>
        </c:scaling>
        <c:delete val="0"/>
        <c:axPos val="b"/>
        <c:majorTickMark val="out"/>
        <c:minorTickMark val="none"/>
        <c:tickLblPos val="nextTo"/>
        <c:crossAx val="684314512"/>
        <c:crosses val="autoZero"/>
        <c:auto val="1"/>
        <c:lblAlgn val="ctr"/>
        <c:lblOffset val="100"/>
        <c:noMultiLvlLbl val="0"/>
      </c:catAx>
      <c:valAx>
        <c:axId val="684314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3086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600"/>
              <a:t>Cummulative</a:t>
            </a:r>
            <a:r>
              <a:rPr lang="it-IT" sz="1600" baseline="0"/>
              <a:t> Binomial (n = 10, p = 1/6</a:t>
            </a:r>
            <a:r>
              <a:rPr lang="it-IT" sz="1600"/>
              <a:t>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'Binomial 1'!$B$28</c:f>
              <c:strCache>
                <c:ptCount val="1"/>
                <c:pt idx="0">
                  <c:v>F(x)</c:v>
                </c:pt>
              </c:strCache>
            </c:strRef>
          </c:tx>
          <c:invertIfNegative val="0"/>
          <c:val>
            <c:numRef>
              <c:f>'Binomial 1'!$B$29:$B$39</c:f>
              <c:numCache>
                <c:formatCode>0.00000</c:formatCode>
                <c:ptCount val="11"/>
                <c:pt idx="0">
                  <c:v>0.16150558288984571</c:v>
                </c:pt>
                <c:pt idx="1">
                  <c:v>0.48451674866953731</c:v>
                </c:pt>
                <c:pt idx="2">
                  <c:v>0.77522679787125948</c:v>
                </c:pt>
                <c:pt idx="3">
                  <c:v>0.93027215744551128</c:v>
                </c:pt>
                <c:pt idx="4">
                  <c:v>0.98453803329649947</c:v>
                </c:pt>
                <c:pt idx="5">
                  <c:v>0.99756184350073673</c:v>
                </c:pt>
                <c:pt idx="6">
                  <c:v>0.9997324785347762</c:v>
                </c:pt>
                <c:pt idx="7">
                  <c:v>0.99998055111009498</c:v>
                </c:pt>
                <c:pt idx="8">
                  <c:v>0.9999991565532439</c:v>
                </c:pt>
                <c:pt idx="9">
                  <c:v>0.99999998346182828</c:v>
                </c:pt>
                <c:pt idx="1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97656"/>
        <c:axId val="684294520"/>
      </c:barChart>
      <c:catAx>
        <c:axId val="684297656"/>
        <c:scaling>
          <c:orientation val="minMax"/>
        </c:scaling>
        <c:delete val="0"/>
        <c:axPos val="b"/>
        <c:majorTickMark val="out"/>
        <c:minorTickMark val="none"/>
        <c:tickLblPos val="nextTo"/>
        <c:crossAx val="684294520"/>
        <c:crosses val="autoZero"/>
        <c:auto val="1"/>
        <c:lblAlgn val="ctr"/>
        <c:lblOffset val="100"/>
        <c:noMultiLvlLbl val="0"/>
      </c:catAx>
      <c:valAx>
        <c:axId val="684294520"/>
        <c:scaling>
          <c:orientation val="minMax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crossAx val="684297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Binomial vs Normal Distribution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Binomial</c:v>
          </c:tx>
          <c:invertIfNegative val="0"/>
          <c:val>
            <c:numRef>
              <c:f>'Binomial 3'!$B$11:$B$31</c:f>
              <c:numCache>
                <c:formatCode>General</c:formatCode>
                <c:ptCount val="21"/>
                <c:pt idx="0">
                  <c:v>3.1712119389339963E-3</c:v>
                </c:pt>
                <c:pt idx="1">
                  <c:v>2.1141412926226615E-2</c:v>
                </c:pt>
                <c:pt idx="2">
                  <c:v>6.6947807599717662E-2</c:v>
                </c:pt>
                <c:pt idx="3">
                  <c:v>0.13389561519943524</c:v>
                </c:pt>
                <c:pt idx="4">
                  <c:v>0.18968545486586663</c:v>
                </c:pt>
                <c:pt idx="5">
                  <c:v>0.20233115185692441</c:v>
                </c:pt>
                <c:pt idx="6">
                  <c:v>0.1686092932141037</c:v>
                </c:pt>
                <c:pt idx="7">
                  <c:v>0.11240619547606913</c:v>
                </c:pt>
                <c:pt idx="8">
                  <c:v>6.0886689216204062E-2</c:v>
                </c:pt>
                <c:pt idx="9">
                  <c:v>2.7060750762757369E-2</c:v>
                </c:pt>
                <c:pt idx="10">
                  <c:v>9.9222752796777041E-3</c:v>
                </c:pt>
                <c:pt idx="11">
                  <c:v>3.0067500847508173E-3</c:v>
                </c:pt>
                <c:pt idx="12">
                  <c:v>7.5168752118770586E-4</c:v>
                </c:pt>
                <c:pt idx="13">
                  <c:v>1.541923120385034E-4</c:v>
                </c:pt>
                <c:pt idx="14">
                  <c:v>2.5698718673083962E-5</c:v>
                </c:pt>
                <c:pt idx="15">
                  <c:v>3.42649582307786E-6</c:v>
                </c:pt>
                <c:pt idx="16">
                  <c:v>3.5692664823727645E-7</c:v>
                </c:pt>
                <c:pt idx="17">
                  <c:v>2.7994246920570738E-8</c:v>
                </c:pt>
                <c:pt idx="18">
                  <c:v>1.5552359400317114E-9</c:v>
                </c:pt>
                <c:pt idx="19">
                  <c:v>5.4569682106375856E-11</c:v>
                </c:pt>
                <c:pt idx="20">
                  <c:v>9.0949470177292824E-13</c:v>
                </c:pt>
              </c:numCache>
            </c:numRef>
          </c:val>
        </c:ser>
        <c:ser>
          <c:idx val="1"/>
          <c:order val="1"/>
          <c:tx>
            <c:v>Normal</c:v>
          </c:tx>
          <c:invertIfNegative val="0"/>
          <c:val>
            <c:numRef>
              <c:f>'Binomial 3'!$C$11:$C$31</c:f>
              <c:numCache>
                <c:formatCode>General</c:formatCode>
                <c:ptCount val="21"/>
                <c:pt idx="0">
                  <c:v>7.3493031003682655E-3</c:v>
                </c:pt>
                <c:pt idx="1">
                  <c:v>2.4400545593852858E-2</c:v>
                </c:pt>
                <c:pt idx="2">
                  <c:v>6.2049895392207628E-2</c:v>
                </c:pt>
                <c:pt idx="3">
                  <c:v>0.12085669349928452</c:v>
                </c:pt>
                <c:pt idx="4">
                  <c:v>0.18029700023749379</c:v>
                </c:pt>
                <c:pt idx="5">
                  <c:v>0.20601290774570111</c:v>
                </c:pt>
                <c:pt idx="6">
                  <c:v>0.18029700023749379</c:v>
                </c:pt>
                <c:pt idx="7">
                  <c:v>0.12085669349928452</c:v>
                </c:pt>
                <c:pt idx="8">
                  <c:v>6.2049895392207628E-2</c:v>
                </c:pt>
                <c:pt idx="9">
                  <c:v>2.4400545593852858E-2</c:v>
                </c:pt>
                <c:pt idx="10">
                  <c:v>7.3493031003682655E-3</c:v>
                </c:pt>
                <c:pt idx="11">
                  <c:v>1.6954341195802181E-3</c:v>
                </c:pt>
                <c:pt idx="12">
                  <c:v>2.9957379207605066E-4</c:v>
                </c:pt>
                <c:pt idx="13">
                  <c:v>4.0542904000878473E-5</c:v>
                </c:pt>
                <c:pt idx="14">
                  <c:v>4.2025610143038761E-6</c:v>
                </c:pt>
                <c:pt idx="15">
                  <c:v>3.3365784455993171E-7</c:v>
                </c:pt>
                <c:pt idx="16">
                  <c:v>2.0289754423084675E-8</c:v>
                </c:pt>
                <c:pt idx="17">
                  <c:v>9.4501864998485711E-10</c:v>
                </c:pt>
                <c:pt idx="18">
                  <c:v>3.3712589032589398E-11</c:v>
                </c:pt>
                <c:pt idx="19">
                  <c:v>9.2115342570611369E-13</c:v>
                </c:pt>
                <c:pt idx="20">
                  <c:v>1.9277911173987313E-14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98048"/>
        <c:axId val="684303144"/>
      </c:barChart>
      <c:catAx>
        <c:axId val="684298048"/>
        <c:scaling>
          <c:orientation val="minMax"/>
        </c:scaling>
        <c:delete val="0"/>
        <c:axPos val="b"/>
        <c:majorTickMark val="out"/>
        <c:minorTickMark val="none"/>
        <c:tickLblPos val="nextTo"/>
        <c:crossAx val="684303144"/>
        <c:crosses val="autoZero"/>
        <c:auto val="1"/>
        <c:lblAlgn val="ctr"/>
        <c:lblOffset val="100"/>
        <c:noMultiLvlLbl val="0"/>
      </c:catAx>
      <c:valAx>
        <c:axId val="684303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298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Beta Distribution </a:t>
            </a:r>
            <a:r>
              <a:rPr lang="el-GR"/>
              <a:t>β = </a:t>
            </a:r>
            <a:r>
              <a:rPr lang="it-IT"/>
              <a:t>8</a:t>
            </a:r>
            <a:endParaRPr lang="el-GR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Beta!$G$6</c:f>
              <c:strCache>
                <c:ptCount val="1"/>
                <c:pt idx="0">
                  <c:v>α = 2</c:v>
                </c:pt>
              </c:strCache>
            </c:strRef>
          </c:tx>
          <c:marker>
            <c:symbol val="none"/>
          </c:marker>
          <c:cat>
            <c:numRef>
              <c:f>Beta!$I$4:$I$53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Beta!$J$4:$J$53</c:f>
              <c:numCache>
                <c:formatCode>General</c:formatCode>
                <c:ptCount val="50"/>
                <c:pt idx="0">
                  <c:v>0</c:v>
                </c:pt>
                <c:pt idx="1">
                  <c:v>1.2501007678752769</c:v>
                </c:pt>
                <c:pt idx="2">
                  <c:v>2.1641687369515008</c:v>
                </c:pt>
                <c:pt idx="3">
                  <c:v>2.8014232069122049</c:v>
                </c:pt>
                <c:pt idx="4">
                  <c:v>3.2131964231221253</c:v>
                </c:pt>
                <c:pt idx="5">
                  <c:v>3.4437376800000008</c:v>
                </c:pt>
                <c:pt idx="6">
                  <c:v>3.5309571526361094</c:v>
                </c:pt>
                <c:pt idx="7">
                  <c:v>3.5071124479469575</c:v>
                </c:pt>
                <c:pt idx="8">
                  <c:v>3.3994407923417098</c:v>
                </c:pt>
                <c:pt idx="9">
                  <c:v>3.2307396985571333</c:v>
                </c:pt>
                <c:pt idx="10">
                  <c:v>3.0198988800000013</c:v>
                </c:pt>
                <c:pt idx="11">
                  <c:v>2.7823861066180617</c:v>
                </c:pt>
                <c:pt idx="12">
                  <c:v>2.5306896220028938</c:v>
                </c:pt>
                <c:pt idx="13">
                  <c:v>2.2747196671100935</c:v>
                </c:pt>
                <c:pt idx="14">
                  <c:v>2.0221715816644612</c:v>
                </c:pt>
                <c:pt idx="15">
                  <c:v>1.7788528799999999</c:v>
                </c:pt>
                <c:pt idx="16">
                  <c:v>1.5489766237667324</c:v>
                </c:pt>
                <c:pt idx="17">
                  <c:v>1.3354233396185085</c:v>
                </c:pt>
                <c:pt idx="18">
                  <c:v>1.139973655678157</c:v>
                </c:pt>
                <c:pt idx="19">
                  <c:v>0.96351375625850844</c:v>
                </c:pt>
                <c:pt idx="20">
                  <c:v>0.80621567999999921</c:v>
                </c:pt>
                <c:pt idx="21">
                  <c:v>0.66769441226772375</c:v>
                </c:pt>
                <c:pt idx="22">
                  <c:v>0.54714364833300411</c:v>
                </c:pt>
                <c:pt idx="23">
                  <c:v>0.44345202954669999</c:v>
                </c:pt>
                <c:pt idx="24">
                  <c:v>0.35530158039367638</c:v>
                </c:pt>
                <c:pt idx="25">
                  <c:v>0.2812499999999995</c:v>
                </c:pt>
                <c:pt idx="26">
                  <c:v>0.21979838734663637</c:v>
                </c:pt>
                <c:pt idx="27">
                  <c:v>0.16944590512558044</c:v>
                </c:pt>
                <c:pt idx="28">
                  <c:v>0.12873281285652452</c:v>
                </c:pt>
                <c:pt idx="29">
                  <c:v>9.6273225564364545E-2</c:v>
                </c:pt>
                <c:pt idx="30">
                  <c:v>7.0778879999999905E-2</c:v>
                </c:pt>
                <c:pt idx="31">
                  <c:v>5.1075116069068623E-2</c:v>
                </c:pt>
                <c:pt idx="32">
                  <c:v>3.6110206815436661E-2</c:v>
                </c:pt>
                <c:pt idx="33">
                  <c:v>2.4959095988428687E-2</c:v>
                </c:pt>
                <c:pt idx="34">
                  <c:v>1.6822527904972719E-2</c:v>
                </c:pt>
                <c:pt idx="35">
                  <c:v>1.1022479999999927E-2</c:v>
                </c:pt>
                <c:pt idx="36">
                  <c:v>6.9947341406207467E-3</c:v>
                </c:pt>
                <c:pt idx="37">
                  <c:v>4.2793484617727681E-3</c:v>
                </c:pt>
                <c:pt idx="38">
                  <c:v>2.5097171632127786E-3</c:v>
                </c:pt>
                <c:pt idx="39">
                  <c:v>1.4008313899007857E-3</c:v>
                </c:pt>
                <c:pt idx="40">
                  <c:v>7.3727999999999262E-4</c:v>
                </c:pt>
                <c:pt idx="41">
                  <c:v>3.614547068927951E-4</c:v>
                </c:pt>
                <c:pt idx="42">
                  <c:v>1.6234976378879716E-4</c:v>
                </c:pt>
                <c:pt idx="43">
                  <c:v>6.5272041676798685E-5</c:v>
                </c:pt>
                <c:pt idx="44">
                  <c:v>2.270303354879946E-5</c:v>
                </c:pt>
                <c:pt idx="45">
                  <c:v>6.4799999999997965E-6</c:v>
                </c:pt>
                <c:pt idx="46">
                  <c:v>1.389153484799946E-6</c:v>
                </c:pt>
                <c:pt idx="47">
                  <c:v>1.8946068479998937E-7</c:v>
                </c:pt>
                <c:pt idx="48">
                  <c:v>1.1324620799998985E-8</c:v>
                </c:pt>
                <c:pt idx="49">
                  <c:v>9.0316799999982906E-11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Beta!$G$7</c:f>
              <c:strCache>
                <c:ptCount val="1"/>
                <c:pt idx="0">
                  <c:v>α = 4</c:v>
                </c:pt>
              </c:strCache>
            </c:strRef>
          </c:tx>
          <c:marker>
            <c:symbol val="none"/>
          </c:marker>
          <c:val>
            <c:numRef>
              <c:f>Beta!$K$4:$K$53</c:f>
              <c:numCache>
                <c:formatCode>General</c:formatCode>
                <c:ptCount val="50"/>
                <c:pt idx="0">
                  <c:v>0</c:v>
                </c:pt>
                <c:pt idx="1">
                  <c:v>9.1674056310853628E-3</c:v>
                </c:pt>
                <c:pt idx="2">
                  <c:v>6.3482282950577423E-2</c:v>
                </c:pt>
                <c:pt idx="3">
                  <c:v>0.18489393165620557</c:v>
                </c:pt>
                <c:pt idx="4">
                  <c:v>0.3770150469796627</c:v>
                </c:pt>
                <c:pt idx="5">
                  <c:v>0.63135190799999996</c:v>
                </c:pt>
                <c:pt idx="6">
                  <c:v>0.93217268829593336</c:v>
                </c:pt>
                <c:pt idx="7">
                  <c:v>1.2602224062956064</c:v>
                </c:pt>
                <c:pt idx="8">
                  <c:v>1.5954708785390421</c:v>
                </c:pt>
                <c:pt idx="9">
                  <c:v>1.919059380942937</c:v>
                </c:pt>
                <c:pt idx="10">
                  <c:v>2.2145925120000003</c:v>
                </c:pt>
                <c:pt idx="11">
                  <c:v>2.468903938605759</c:v>
                </c:pt>
                <c:pt idx="12">
                  <c:v>2.6724082408350553</c:v>
                </c:pt>
                <c:pt idx="13">
                  <c:v>2.8191359074384419</c:v>
                </c:pt>
                <c:pt idx="14">
                  <c:v>2.9065346200457185</c:v>
                </c:pt>
                <c:pt idx="15">
                  <c:v>2.9351072520000008</c:v>
                </c:pt>
                <c:pt idx="16">
                  <c:v>2.9079454483514131</c:v>
                </c:pt>
                <c:pt idx="17">
                  <c:v>2.8302071977648269</c:v>
                </c:pt>
                <c:pt idx="18">
                  <c:v>2.7085774058913001</c:v>
                </c:pt>
                <c:pt idx="19">
                  <c:v>2.5507420840683586</c:v>
                </c:pt>
                <c:pt idx="20">
                  <c:v>2.364899327999999</c:v>
                </c:pt>
                <c:pt idx="21">
                  <c:v>2.159323729273821</c:v>
                </c:pt>
                <c:pt idx="22">
                  <c:v>1.9419951891499443</c:v>
                </c:pt>
                <c:pt idx="23">
                  <c:v>1.7202982399548332</c:v>
                </c:pt>
                <c:pt idx="24">
                  <c:v>1.5007938755828891</c:v>
                </c:pt>
                <c:pt idx="25">
                  <c:v>1.2890624999999998</c:v>
                </c:pt>
                <c:pt idx="26">
                  <c:v>1.0896138722063931</c:v>
                </c:pt>
                <c:pt idx="27">
                  <c:v>0.90585780880135458</c:v>
                </c:pt>
                <c:pt idx="28">
                  <c:v>0.74012785204977882</c:v>
                </c:pt>
                <c:pt idx="29">
                  <c:v>0.59374907313062453</c:v>
                </c:pt>
                <c:pt idx="30">
                  <c:v>0.46714060799999885</c:v>
                </c:pt>
                <c:pt idx="31">
                  <c:v>0.35994336797741672</c:v>
                </c:pt>
                <c:pt idx="32">
                  <c:v>0.27116357971271926</c:v>
                </c:pt>
                <c:pt idx="33">
                  <c:v>0.19932334056359172</c:v>
                </c:pt>
                <c:pt idx="34">
                  <c:v>0.14261017655975544</c:v>
                </c:pt>
                <c:pt idx="35">
                  <c:v>9.9018611999999548E-2</c:v>
                </c:pt>
                <c:pt idx="36">
                  <c:v>6.6477953272459672E-2</c:v>
                </c:pt>
                <c:pt idx="37">
                  <c:v>4.29618056572241E-2</c:v>
                </c:pt>
                <c:pt idx="38">
                  <c:v>2.6576231613647888E-2</c:v>
                </c:pt>
                <c:pt idx="39">
                  <c:v>1.5624873322953373E-2</c:v>
                </c:pt>
                <c:pt idx="40">
                  <c:v>8.6507519999998971E-3</c:v>
                </c:pt>
                <c:pt idx="41">
                  <c:v>4.4557726567697837E-3</c:v>
                </c:pt>
                <c:pt idx="42">
                  <c:v>2.1001565443718806E-3</c:v>
                </c:pt>
                <c:pt idx="43">
                  <c:v>8.850453704429389E-4</c:v>
                </c:pt>
                <c:pt idx="44">
                  <c:v>3.2232253497015546E-4</c:v>
                </c:pt>
                <c:pt idx="45">
                  <c:v>9.6227999999997019E-5</c:v>
                </c:pt>
                <c:pt idx="46">
                  <c:v>2.1555957674802381E-5</c:v>
                </c:pt>
                <c:pt idx="47">
                  <c:v>3.0691367866366243E-6</c:v>
                </c:pt>
                <c:pt idx="48">
                  <c:v>1.9134079303678326E-7</c:v>
                </c:pt>
                <c:pt idx="49">
                  <c:v>1.5902380031996985E-9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Beta!$G$8</c:f>
              <c:strCache>
                <c:ptCount val="1"/>
                <c:pt idx="0">
                  <c:v>α = 6</c:v>
                </c:pt>
              </c:strCache>
            </c:strRef>
          </c:tx>
          <c:marker>
            <c:symbol val="none"/>
          </c:marker>
          <c:val>
            <c:numRef>
              <c:f>Beta!$L$4:$L$53</c:f>
              <c:numCache>
                <c:formatCode>General</c:formatCode>
                <c:ptCount val="50"/>
                <c:pt idx="0">
                  <c:v>0</c:v>
                </c:pt>
                <c:pt idx="1">
                  <c:v>2.8602305568986287E-5</c:v>
                </c:pt>
                <c:pt idx="2">
                  <c:v>7.9225889122320581E-4</c:v>
                </c:pt>
                <c:pt idx="3">
                  <c:v>5.191821600906252E-3</c:v>
                </c:pt>
                <c:pt idx="4">
                  <c:v>1.882059114522475E-2</c:v>
                </c:pt>
                <c:pt idx="5">
                  <c:v>4.9245448824000025E-2</c:v>
                </c:pt>
                <c:pt idx="6">
                  <c:v>0.10470163634939925</c:v>
                </c:pt>
                <c:pt idx="7">
                  <c:v>0.19266280147447248</c:v>
                </c:pt>
                <c:pt idx="8">
                  <c:v>0.31858362502667564</c:v>
                </c:pt>
                <c:pt idx="9">
                  <c:v>0.48498468675189865</c:v>
                </c:pt>
                <c:pt idx="10">
                  <c:v>0.69095286374399956</c:v>
                </c:pt>
                <c:pt idx="11">
                  <c:v>0.93206061490244552</c:v>
                </c:pt>
                <c:pt idx="12">
                  <c:v>1.2006595744423727</c:v>
                </c:pt>
                <c:pt idx="13">
                  <c:v>1.4864739812741417</c:v>
                </c:pt>
                <c:pt idx="14">
                  <c:v>1.7774040508503568</c:v>
                </c:pt>
                <c:pt idx="15">
                  <c:v>2.0604452909040001</c:v>
                </c:pt>
                <c:pt idx="16">
                  <c:v>2.3226341885072408</c:v>
                </c:pt>
                <c:pt idx="17">
                  <c:v>2.5519412260805892</c:v>
                </c:pt>
                <c:pt idx="18">
                  <c:v>2.7380467280673986</c:v>
                </c:pt>
                <c:pt idx="19">
                  <c:v>2.8729518241278749</c:v>
                </c:pt>
                <c:pt idx="20">
                  <c:v>2.9513943613440006</c:v>
                </c:pt>
                <c:pt idx="21">
                  <c:v>2.9710567055824377</c:v>
                </c:pt>
                <c:pt idx="22">
                  <c:v>2.9325680952315492</c:v>
                </c:pt>
                <c:pt idx="23">
                  <c:v>2.8393178390806555</c:v>
                </c:pt>
                <c:pt idx="24">
                  <c:v>2.6971066896875238</c:v>
                </c:pt>
                <c:pt idx="25">
                  <c:v>2.5136718749999987</c:v>
                </c:pt>
                <c:pt idx="26">
                  <c:v>2.2981264101479488</c:v>
                </c:pt>
                <c:pt idx="27">
                  <c:v>2.0603554689625039</c:v>
                </c:pt>
                <c:pt idx="28">
                  <c:v>1.8104119363419231</c:v>
                </c:pt>
                <c:pt idx="29">
                  <c:v>1.5579500679689087</c:v>
                </c:pt>
                <c:pt idx="30">
                  <c:v>1.3117308272639974</c:v>
                </c:pt>
                <c:pt idx="31">
                  <c:v>1.0792253990740479</c:v>
                </c:pt>
                <c:pt idx="32">
                  <c:v>0.86633509755257232</c:v>
                </c:pt>
                <c:pt idx="33">
                  <c:v>0.67723692776610411</c:v>
                </c:pt>
                <c:pt idx="34">
                  <c:v>0.51435497600160118</c:v>
                </c:pt>
                <c:pt idx="35">
                  <c:v>0.37844913506399808</c:v>
                </c:pt>
                <c:pt idx="36">
                  <c:v>0.2688049336162564</c:v>
                </c:pt>
                <c:pt idx="37">
                  <c:v>0.18350190126758836</c:v>
                </c:pt>
                <c:pt idx="38">
                  <c:v>0.11973336476433558</c:v>
                </c:pt>
                <c:pt idx="39">
                  <c:v>7.4148148851541695E-2</c:v>
                </c:pt>
                <c:pt idx="40">
                  <c:v>4.31845539839995E-2</c:v>
                </c:pt>
                <c:pt idx="41">
                  <c:v>2.3369279968413637E-2</c:v>
                </c:pt>
                <c:pt idx="42">
                  <c:v>1.1558589570128647E-2</c:v>
                </c:pt>
                <c:pt idx="43">
                  <c:v>5.1057205366408709E-3</c:v>
                </c:pt>
                <c:pt idx="44">
                  <c:v>1.9469312544309273E-3</c:v>
                </c:pt>
                <c:pt idx="45">
                  <c:v>6.0796850399998223E-4</c:v>
                </c:pt>
                <c:pt idx="46">
                  <c:v>1.4231070809243114E-4</c:v>
                </c:pt>
                <c:pt idx="47">
                  <c:v>2.1152736264442619E-5</c:v>
                </c:pt>
                <c:pt idx="48">
                  <c:v>1.3754494639290579E-6</c:v>
                </c:pt>
                <c:pt idx="49">
                  <c:v>1.1912663710529423E-8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96872"/>
        <c:axId val="684294912"/>
      </c:lineChart>
      <c:catAx>
        <c:axId val="684296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4912"/>
        <c:crosses val="autoZero"/>
        <c:auto val="1"/>
        <c:lblAlgn val="ctr"/>
        <c:lblOffset val="100"/>
        <c:tickLblSkip val="5"/>
        <c:noMultiLvlLbl val="0"/>
      </c:catAx>
      <c:valAx>
        <c:axId val="684294912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crossAx val="6842968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Beta Distribution </a:t>
            </a:r>
            <a:r>
              <a:rPr lang="el-GR">
                <a:latin typeface="Calibri" panose="020F0502020204030204" pitchFamily="34" charset="0"/>
                <a:cs typeface="Calibri" panose="020F0502020204030204" pitchFamily="34" charset="0"/>
              </a:rPr>
              <a:t>β</a:t>
            </a:r>
            <a:r>
              <a:rPr lang="en-GB" baseline="0"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n-GB">
                <a:latin typeface="Calibri" panose="020F0502020204030204" pitchFamily="34" charset="0"/>
                <a:cs typeface="Calibri" panose="020F0502020204030204" pitchFamily="34" charset="0"/>
              </a:rPr>
              <a:t>= 1</a:t>
            </a:r>
            <a:r>
              <a:rPr lang="en-US"/>
              <a:t> 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Beta!$V$6</c:f>
              <c:strCache>
                <c:ptCount val="1"/>
                <c:pt idx="0">
                  <c:v>α = 1</c:v>
                </c:pt>
              </c:strCache>
            </c:strRef>
          </c:tx>
          <c:marker>
            <c:symbol val="none"/>
          </c:marker>
          <c:cat>
            <c:numRef>
              <c:f>Beta!$X$4:$X$53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Beta!$Y$5:$Y$53</c:f>
              <c:numCache>
                <c:formatCode>General</c:formatCode>
                <c:ptCount val="4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Beta!$V$7</c:f>
              <c:strCache>
                <c:ptCount val="1"/>
                <c:pt idx="0">
                  <c:v>α = 2</c:v>
                </c:pt>
              </c:strCache>
            </c:strRef>
          </c:tx>
          <c:marker>
            <c:symbol val="none"/>
          </c:marker>
          <c:cat>
            <c:numRef>
              <c:f>Beta!$X$4:$X$53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Beta!$Z$4:$Z$53</c:f>
              <c:numCache>
                <c:formatCode>General</c:formatCode>
                <c:ptCount val="50"/>
                <c:pt idx="0">
                  <c:v>0</c:v>
                </c:pt>
                <c:pt idx="1">
                  <c:v>0.04</c:v>
                </c:pt>
                <c:pt idx="2">
                  <c:v>0.08</c:v>
                </c:pt>
                <c:pt idx="3">
                  <c:v>0.12</c:v>
                </c:pt>
                <c:pt idx="4">
                  <c:v>0.15999999999999995</c:v>
                </c:pt>
                <c:pt idx="5">
                  <c:v>0.20000000000000004</c:v>
                </c:pt>
                <c:pt idx="6">
                  <c:v>0.24000000000000002</c:v>
                </c:pt>
                <c:pt idx="7">
                  <c:v>0.27999999999999997</c:v>
                </c:pt>
                <c:pt idx="8">
                  <c:v>0.31999999999999995</c:v>
                </c:pt>
                <c:pt idx="9">
                  <c:v>0.36</c:v>
                </c:pt>
                <c:pt idx="10">
                  <c:v>0.39999999999999997</c:v>
                </c:pt>
                <c:pt idx="11">
                  <c:v>0.43999999999999989</c:v>
                </c:pt>
                <c:pt idx="12">
                  <c:v>0.47999999999999993</c:v>
                </c:pt>
                <c:pt idx="13">
                  <c:v>0.51999999999999991</c:v>
                </c:pt>
                <c:pt idx="14">
                  <c:v>0.55999999999999994</c:v>
                </c:pt>
                <c:pt idx="15">
                  <c:v>0.59999999999999987</c:v>
                </c:pt>
                <c:pt idx="16">
                  <c:v>0.64</c:v>
                </c:pt>
                <c:pt idx="17">
                  <c:v>0.68000000000000016</c:v>
                </c:pt>
                <c:pt idx="18">
                  <c:v>0.72000000000000008</c:v>
                </c:pt>
                <c:pt idx="19">
                  <c:v>0.76000000000000012</c:v>
                </c:pt>
                <c:pt idx="20">
                  <c:v>0.80000000000000016</c:v>
                </c:pt>
                <c:pt idx="21">
                  <c:v>0.84000000000000019</c:v>
                </c:pt>
                <c:pt idx="22">
                  <c:v>0.88000000000000023</c:v>
                </c:pt>
                <c:pt idx="23">
                  <c:v>0.92000000000000026</c:v>
                </c:pt>
                <c:pt idx="24">
                  <c:v>0.9600000000000003</c:v>
                </c:pt>
                <c:pt idx="25">
                  <c:v>1.0000000000000002</c:v>
                </c:pt>
                <c:pt idx="26">
                  <c:v>1.0400000000000003</c:v>
                </c:pt>
                <c:pt idx="27">
                  <c:v>1.0800000000000003</c:v>
                </c:pt>
                <c:pt idx="28">
                  <c:v>1.1200000000000003</c:v>
                </c:pt>
                <c:pt idx="29">
                  <c:v>1.1600000000000004</c:v>
                </c:pt>
                <c:pt idx="30">
                  <c:v>1.2000000000000004</c:v>
                </c:pt>
                <c:pt idx="31">
                  <c:v>1.2400000000000004</c:v>
                </c:pt>
                <c:pt idx="32">
                  <c:v>1.2800000000000005</c:v>
                </c:pt>
                <c:pt idx="33">
                  <c:v>1.3200000000000005</c:v>
                </c:pt>
                <c:pt idx="34">
                  <c:v>1.3600000000000005</c:v>
                </c:pt>
                <c:pt idx="35">
                  <c:v>1.4000000000000006</c:v>
                </c:pt>
                <c:pt idx="36">
                  <c:v>1.4400000000000006</c:v>
                </c:pt>
                <c:pt idx="37">
                  <c:v>1.4800000000000006</c:v>
                </c:pt>
                <c:pt idx="38">
                  <c:v>1.5200000000000007</c:v>
                </c:pt>
                <c:pt idx="39">
                  <c:v>1.5600000000000007</c:v>
                </c:pt>
                <c:pt idx="40">
                  <c:v>1.6000000000000008</c:v>
                </c:pt>
                <c:pt idx="41">
                  <c:v>1.6400000000000008</c:v>
                </c:pt>
                <c:pt idx="42">
                  <c:v>1.6800000000000008</c:v>
                </c:pt>
                <c:pt idx="43">
                  <c:v>1.7200000000000009</c:v>
                </c:pt>
                <c:pt idx="44">
                  <c:v>1.7600000000000009</c:v>
                </c:pt>
                <c:pt idx="45">
                  <c:v>1.8000000000000009</c:v>
                </c:pt>
                <c:pt idx="46">
                  <c:v>1.840000000000001</c:v>
                </c:pt>
                <c:pt idx="47">
                  <c:v>1.8800000000000008</c:v>
                </c:pt>
                <c:pt idx="48">
                  <c:v>1.920000000000001</c:v>
                </c:pt>
                <c:pt idx="49">
                  <c:v>1.9600000000000009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Beta!$V$8</c:f>
              <c:strCache>
                <c:ptCount val="1"/>
                <c:pt idx="0">
                  <c:v>α = 4</c:v>
                </c:pt>
              </c:strCache>
            </c:strRef>
          </c:tx>
          <c:marker>
            <c:symbol val="none"/>
          </c:marker>
          <c:cat>
            <c:numRef>
              <c:f>Beta!$X$4:$X$53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Beta!$AA$4:$AA$53</c:f>
              <c:numCache>
                <c:formatCode>General</c:formatCode>
                <c:ptCount val="50"/>
                <c:pt idx="0">
                  <c:v>0</c:v>
                </c:pt>
                <c:pt idx="1">
                  <c:v>3.2000000000000026E-5</c:v>
                </c:pt>
                <c:pt idx="2">
                  <c:v>2.5600000000000026E-4</c:v>
                </c:pt>
                <c:pt idx="3">
                  <c:v>8.639999999999991E-4</c:v>
                </c:pt>
                <c:pt idx="4">
                  <c:v>2.047999999999999E-3</c:v>
                </c:pt>
                <c:pt idx="5">
                  <c:v>4.000000000000001E-3</c:v>
                </c:pt>
                <c:pt idx="6">
                  <c:v>6.9120000000000006E-3</c:v>
                </c:pt>
                <c:pt idx="7">
                  <c:v>1.0976000000000003E-2</c:v>
                </c:pt>
                <c:pt idx="8">
                  <c:v>1.6383999999999996E-2</c:v>
                </c:pt>
                <c:pt idx="9">
                  <c:v>2.3327999999999998E-2</c:v>
                </c:pt>
                <c:pt idx="10">
                  <c:v>3.1999999999999987E-2</c:v>
                </c:pt>
                <c:pt idx="11">
                  <c:v>4.259199999999997E-2</c:v>
                </c:pt>
                <c:pt idx="12">
                  <c:v>5.529599999999997E-2</c:v>
                </c:pt>
                <c:pt idx="13">
                  <c:v>7.0303999999999964E-2</c:v>
                </c:pt>
                <c:pt idx="14">
                  <c:v>8.7807999999999969E-2</c:v>
                </c:pt>
                <c:pt idx="15">
                  <c:v>0.10799999999999993</c:v>
                </c:pt>
                <c:pt idx="16">
                  <c:v>0.13107199999999999</c:v>
                </c:pt>
                <c:pt idx="17">
                  <c:v>0.15721600000000008</c:v>
                </c:pt>
                <c:pt idx="18">
                  <c:v>0.18662400000000004</c:v>
                </c:pt>
                <c:pt idx="19">
                  <c:v>0.21948800000000002</c:v>
                </c:pt>
                <c:pt idx="20">
                  <c:v>0.25600000000000017</c:v>
                </c:pt>
                <c:pt idx="21">
                  <c:v>0.29635200000000023</c:v>
                </c:pt>
                <c:pt idx="22">
                  <c:v>0.34073600000000032</c:v>
                </c:pt>
                <c:pt idx="23">
                  <c:v>0.38934400000000025</c:v>
                </c:pt>
                <c:pt idx="24">
                  <c:v>0.44236800000000048</c:v>
                </c:pt>
                <c:pt idx="25">
                  <c:v>0.50000000000000033</c:v>
                </c:pt>
                <c:pt idx="26">
                  <c:v>0.56243200000000049</c:v>
                </c:pt>
                <c:pt idx="27">
                  <c:v>0.62985600000000053</c:v>
                </c:pt>
                <c:pt idx="28">
                  <c:v>0.70246400000000053</c:v>
                </c:pt>
                <c:pt idx="29">
                  <c:v>0.78044800000000081</c:v>
                </c:pt>
                <c:pt idx="30">
                  <c:v>0.86400000000000077</c:v>
                </c:pt>
                <c:pt idx="31">
                  <c:v>0.95331200000000094</c:v>
                </c:pt>
                <c:pt idx="32">
                  <c:v>1.0485760000000013</c:v>
                </c:pt>
                <c:pt idx="33">
                  <c:v>1.1499840000000012</c:v>
                </c:pt>
                <c:pt idx="34">
                  <c:v>1.2577280000000015</c:v>
                </c:pt>
                <c:pt idx="35">
                  <c:v>1.3720000000000019</c:v>
                </c:pt>
                <c:pt idx="36">
                  <c:v>1.4929920000000017</c:v>
                </c:pt>
                <c:pt idx="37">
                  <c:v>1.6208960000000021</c:v>
                </c:pt>
                <c:pt idx="38">
                  <c:v>1.7559040000000021</c:v>
                </c:pt>
                <c:pt idx="39">
                  <c:v>1.8982080000000028</c:v>
                </c:pt>
                <c:pt idx="40">
                  <c:v>2.0480000000000027</c:v>
                </c:pt>
                <c:pt idx="41">
                  <c:v>2.2054720000000034</c:v>
                </c:pt>
                <c:pt idx="42">
                  <c:v>2.3708160000000036</c:v>
                </c:pt>
                <c:pt idx="43">
                  <c:v>2.5442240000000038</c:v>
                </c:pt>
                <c:pt idx="44">
                  <c:v>2.7258880000000039</c:v>
                </c:pt>
                <c:pt idx="45">
                  <c:v>2.9160000000000039</c:v>
                </c:pt>
                <c:pt idx="46">
                  <c:v>3.1147520000000051</c:v>
                </c:pt>
                <c:pt idx="47">
                  <c:v>3.3223360000000053</c:v>
                </c:pt>
                <c:pt idx="48">
                  <c:v>3.5389440000000056</c:v>
                </c:pt>
                <c:pt idx="49">
                  <c:v>3.7647680000000059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98440"/>
        <c:axId val="684301968"/>
      </c:lineChart>
      <c:catAx>
        <c:axId val="684298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301968"/>
        <c:crosses val="autoZero"/>
        <c:auto val="1"/>
        <c:lblAlgn val="ctr"/>
        <c:lblOffset val="100"/>
        <c:tickLblSkip val="5"/>
        <c:noMultiLvlLbl val="0"/>
      </c:catAx>
      <c:valAx>
        <c:axId val="68430196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crossAx val="684298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Beta Distribution </a:t>
            </a:r>
            <a:r>
              <a:rPr lang="el-GR" sz="1800" b="1" i="0" baseline="0">
                <a:effectLst/>
              </a:rPr>
              <a:t>β</a:t>
            </a:r>
            <a:r>
              <a:rPr lang="en-GB" sz="1800" b="1" i="0" baseline="0">
                <a:effectLst/>
              </a:rPr>
              <a:t> = .5</a:t>
            </a:r>
            <a:r>
              <a:rPr lang="en-US" sz="1800" b="1" i="0" baseline="0">
                <a:effectLst/>
              </a:rPr>
              <a:t> </a:t>
            </a:r>
            <a:endParaRPr lang="en-GB">
              <a:effectLst/>
            </a:endParaRP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Beta!$AD$6</c:f>
              <c:strCache>
                <c:ptCount val="1"/>
                <c:pt idx="0">
                  <c:v>α = .5</c:v>
                </c:pt>
              </c:strCache>
            </c:strRef>
          </c:tx>
          <c:marker>
            <c:symbol val="none"/>
          </c:marker>
          <c:cat>
            <c:numRef>
              <c:f>Beta!$AF$4:$AF$53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Beta!$AG$5:$AG$53</c:f>
              <c:numCache>
                <c:formatCode>General</c:formatCode>
                <c:ptCount val="49"/>
                <c:pt idx="0">
                  <c:v>2.2736420441699332</c:v>
                </c:pt>
                <c:pt idx="1">
                  <c:v>1.6243683359034917</c:v>
                </c:pt>
                <c:pt idx="2">
                  <c:v>1.3403264107207216</c:v>
                </c:pt>
                <c:pt idx="3">
                  <c:v>1.173305807059519</c:v>
                </c:pt>
                <c:pt idx="4">
                  <c:v>1.0610329539459689</c:v>
                </c:pt>
                <c:pt idx="5">
                  <c:v>0.97953096209561241</c:v>
                </c:pt>
                <c:pt idx="6">
                  <c:v>0.91735384128431297</c:v>
                </c:pt>
                <c:pt idx="7">
                  <c:v>0.86826139755357068</c:v>
                </c:pt>
                <c:pt idx="8">
                  <c:v>0.82852753952761038</c:v>
                </c:pt>
                <c:pt idx="9">
                  <c:v>0.79577471545947676</c:v>
                </c:pt>
                <c:pt idx="10">
                  <c:v>0.76840730613751429</c:v>
                </c:pt>
                <c:pt idx="11">
                  <c:v>0.74531130771480558</c:v>
                </c:pt>
                <c:pt idx="12">
                  <c:v>0.72568407630209808</c:v>
                </c:pt>
                <c:pt idx="13">
                  <c:v>0.70893246245401964</c:v>
                </c:pt>
                <c:pt idx="14">
                  <c:v>0.69460911804285663</c:v>
                </c:pt>
                <c:pt idx="15">
                  <c:v>0.68237118896741411</c:v>
                </c:pt>
                <c:pt idx="16">
                  <c:v>0.67195269641071187</c:v>
                </c:pt>
                <c:pt idx="17">
                  <c:v>0.66314559621623059</c:v>
                </c:pt>
                <c:pt idx="18">
                  <c:v>0.6557865184150099</c:v>
                </c:pt>
                <c:pt idx="19">
                  <c:v>0.64974733436139676</c:v>
                </c:pt>
                <c:pt idx="20">
                  <c:v>0.64492837537916003</c:v>
                </c:pt>
                <c:pt idx="21">
                  <c:v>0.64125353990800915</c:v>
                </c:pt>
                <c:pt idx="22">
                  <c:v>0.63866678656449571</c:v>
                </c:pt>
                <c:pt idx="23">
                  <c:v>0.63712968015647264</c:v>
                </c:pt>
                <c:pt idx="24">
                  <c:v>0.63661977236758138</c:v>
                </c:pt>
                <c:pt idx="25">
                  <c:v>0.63712968015647264</c:v>
                </c:pt>
                <c:pt idx="26">
                  <c:v>0.63866678656449571</c:v>
                </c:pt>
                <c:pt idx="27">
                  <c:v>0.64125353990800915</c:v>
                </c:pt>
                <c:pt idx="28">
                  <c:v>0.64492837537916003</c:v>
                </c:pt>
                <c:pt idx="29">
                  <c:v>0.64974733436139687</c:v>
                </c:pt>
                <c:pt idx="30">
                  <c:v>0.65578651841501001</c:v>
                </c:pt>
                <c:pt idx="31">
                  <c:v>0.6631455962162307</c:v>
                </c:pt>
                <c:pt idx="32">
                  <c:v>0.67195269641071209</c:v>
                </c:pt>
                <c:pt idx="33">
                  <c:v>0.68237118896741422</c:v>
                </c:pt>
                <c:pt idx="34">
                  <c:v>0.69460911804285685</c:v>
                </c:pt>
                <c:pt idx="35">
                  <c:v>0.70893246245401975</c:v>
                </c:pt>
                <c:pt idx="36">
                  <c:v>0.7256840763020983</c:v>
                </c:pt>
                <c:pt idx="37">
                  <c:v>0.74531130771480592</c:v>
                </c:pt>
                <c:pt idx="38">
                  <c:v>0.76840730613751462</c:v>
                </c:pt>
                <c:pt idx="39">
                  <c:v>0.7957747154594772</c:v>
                </c:pt>
                <c:pt idx="40">
                  <c:v>0.82852753952761105</c:v>
                </c:pt>
                <c:pt idx="41">
                  <c:v>0.86826139755357168</c:v>
                </c:pt>
                <c:pt idx="42">
                  <c:v>0.91735384128431419</c:v>
                </c:pt>
                <c:pt idx="43">
                  <c:v>0.97953096209561419</c:v>
                </c:pt>
                <c:pt idx="44">
                  <c:v>1.0610329539459711</c:v>
                </c:pt>
                <c:pt idx="45">
                  <c:v>1.1733058070595221</c:v>
                </c:pt>
                <c:pt idx="46">
                  <c:v>1.3403264107207267</c:v>
                </c:pt>
                <c:pt idx="47">
                  <c:v>1.6243683359035019</c:v>
                </c:pt>
                <c:pt idx="48">
                  <c:v>2.273642044169963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Beta!$AD$7</c:f>
              <c:strCache>
                <c:ptCount val="1"/>
                <c:pt idx="0">
                  <c:v>α = 1</c:v>
                </c:pt>
              </c:strCache>
            </c:strRef>
          </c:tx>
          <c:marker>
            <c:symbol val="none"/>
          </c:marker>
          <c:cat>
            <c:numRef>
              <c:f>Beta!$AF$4:$AF$53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Beta!$AH$5:$AH$53</c:f>
              <c:numCache>
                <c:formatCode>General</c:formatCode>
                <c:ptCount val="49"/>
                <c:pt idx="0">
                  <c:v>0.50507627227610541</c:v>
                </c:pt>
                <c:pt idx="1">
                  <c:v>0.5103103630798288</c:v>
                </c:pt>
                <c:pt idx="2">
                  <c:v>0.51571062312939675</c:v>
                </c:pt>
                <c:pt idx="3">
                  <c:v>0.5212860351426869</c:v>
                </c:pt>
                <c:pt idx="4">
                  <c:v>0.52704627669472992</c:v>
                </c:pt>
                <c:pt idx="5">
                  <c:v>0.53300179088902611</c:v>
                </c:pt>
                <c:pt idx="6">
                  <c:v>0.53916386601719213</c:v>
                </c:pt>
                <c:pt idx="7">
                  <c:v>0.54554472558998102</c:v>
                </c:pt>
                <c:pt idx="8">
                  <c:v>0.55215763037423271</c:v>
                </c:pt>
                <c:pt idx="9">
                  <c:v>0.55901699437494745</c:v>
                </c:pt>
                <c:pt idx="10">
                  <c:v>0.5661385170722979</c:v>
                </c:pt>
                <c:pt idx="11">
                  <c:v>0.57353933467640439</c:v>
                </c:pt>
                <c:pt idx="12">
                  <c:v>0.58123819371909646</c:v>
                </c:pt>
                <c:pt idx="13">
                  <c:v>0.58925565098878963</c:v>
                </c:pt>
                <c:pt idx="14">
                  <c:v>0.59761430466719689</c:v>
                </c:pt>
                <c:pt idx="15">
                  <c:v>0.60633906259083248</c:v>
                </c:pt>
                <c:pt idx="16">
                  <c:v>0.6154574548966637</c:v>
                </c:pt>
                <c:pt idx="17">
                  <c:v>0.625</c:v>
                </c:pt>
                <c:pt idx="18">
                  <c:v>0.63500063500095261</c:v>
                </c:pt>
                <c:pt idx="19">
                  <c:v>0.64549722436790291</c:v>
                </c:pt>
                <c:pt idx="20">
                  <c:v>0.65653216429861283</c:v>
                </c:pt>
                <c:pt idx="21">
                  <c:v>0.66815310478106105</c:v>
                </c:pt>
                <c:pt idx="22">
                  <c:v>0.68041381743977181</c:v>
                </c:pt>
                <c:pt idx="23">
                  <c:v>0.6933752452815366</c:v>
                </c:pt>
                <c:pt idx="24">
                  <c:v>0.70710678118654757</c:v>
                </c:pt>
                <c:pt idx="25">
                  <c:v>0.72168783648703227</c:v>
                </c:pt>
                <c:pt idx="26">
                  <c:v>0.73720978077448585</c:v>
                </c:pt>
                <c:pt idx="27">
                  <c:v>0.75377836144440924</c:v>
                </c:pt>
                <c:pt idx="28">
                  <c:v>0.7715167498104597</c:v>
                </c:pt>
                <c:pt idx="29">
                  <c:v>0.79056941504209499</c:v>
                </c:pt>
                <c:pt idx="30">
                  <c:v>0.81110710565381294</c:v>
                </c:pt>
                <c:pt idx="31">
                  <c:v>0.8333333333333337</c:v>
                </c:pt>
                <c:pt idx="32">
                  <c:v>0.85749292571254454</c:v>
                </c:pt>
                <c:pt idx="33">
                  <c:v>0.88388347648318477</c:v>
                </c:pt>
                <c:pt idx="34">
                  <c:v>0.91287092917527735</c:v>
                </c:pt>
                <c:pt idx="35">
                  <c:v>0.9449111825230686</c:v>
                </c:pt>
                <c:pt idx="36">
                  <c:v>0.98058067569092078</c:v>
                </c:pt>
                <c:pt idx="37">
                  <c:v>1.0206207261596583</c:v>
                </c:pt>
                <c:pt idx="38">
                  <c:v>1.0660035817780531</c:v>
                </c:pt>
                <c:pt idx="39">
                  <c:v>1.118033988749896</c:v>
                </c:pt>
                <c:pt idx="40">
                  <c:v>1.1785113019775806</c:v>
                </c:pt>
                <c:pt idx="41">
                  <c:v>1.2500000000000016</c:v>
                </c:pt>
                <c:pt idx="42">
                  <c:v>1.3363062095621241</c:v>
                </c:pt>
                <c:pt idx="43">
                  <c:v>1.4433756729740672</c:v>
                </c:pt>
                <c:pt idx="44">
                  <c:v>1.5811388300841933</c:v>
                </c:pt>
                <c:pt idx="45">
                  <c:v>1.7677669529663742</c:v>
                </c:pt>
                <c:pt idx="46">
                  <c:v>2.0412414523193236</c:v>
                </c:pt>
                <c:pt idx="47">
                  <c:v>2.5000000000000164</c:v>
                </c:pt>
                <c:pt idx="48">
                  <c:v>3.5355339059327848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Beta!$AD$8</c:f>
              <c:strCache>
                <c:ptCount val="1"/>
                <c:pt idx="0">
                  <c:v>α = 2</c:v>
                </c:pt>
              </c:strCache>
            </c:strRef>
          </c:tx>
          <c:marker>
            <c:symbol val="none"/>
          </c:marker>
          <c:cat>
            <c:numRef>
              <c:f>Beta!$AF$4:$AF$53</c:f>
              <c:numCache>
                <c:formatCode>General</c:formatCode>
                <c:ptCount val="50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0.12000000000000001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0.19999999999999998</c:v>
                </c:pt>
                <c:pt idx="11">
                  <c:v>0.21999999999999997</c:v>
                </c:pt>
                <c:pt idx="12">
                  <c:v>0.23999999999999996</c:v>
                </c:pt>
                <c:pt idx="13">
                  <c:v>0.25999999999999995</c:v>
                </c:pt>
                <c:pt idx="14">
                  <c:v>0.27999999999999997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0.36000000000000004</c:v>
                </c:pt>
                <c:pt idx="19">
                  <c:v>0.38000000000000006</c:v>
                </c:pt>
                <c:pt idx="20">
                  <c:v>0.40000000000000008</c:v>
                </c:pt>
                <c:pt idx="21">
                  <c:v>0.4200000000000001</c:v>
                </c:pt>
                <c:pt idx="22">
                  <c:v>0.44000000000000011</c:v>
                </c:pt>
                <c:pt idx="23">
                  <c:v>0.46000000000000013</c:v>
                </c:pt>
                <c:pt idx="24">
                  <c:v>0.48000000000000015</c:v>
                </c:pt>
                <c:pt idx="25">
                  <c:v>0.50000000000000011</c:v>
                </c:pt>
                <c:pt idx="26">
                  <c:v>0.52000000000000013</c:v>
                </c:pt>
                <c:pt idx="27">
                  <c:v>0.54000000000000015</c:v>
                </c:pt>
                <c:pt idx="28">
                  <c:v>0.56000000000000016</c:v>
                </c:pt>
                <c:pt idx="29">
                  <c:v>0.58000000000000018</c:v>
                </c:pt>
                <c:pt idx="30">
                  <c:v>0.6000000000000002</c:v>
                </c:pt>
                <c:pt idx="31">
                  <c:v>0.62000000000000022</c:v>
                </c:pt>
                <c:pt idx="32">
                  <c:v>0.64000000000000024</c:v>
                </c:pt>
                <c:pt idx="33">
                  <c:v>0.66000000000000025</c:v>
                </c:pt>
                <c:pt idx="34">
                  <c:v>0.68000000000000027</c:v>
                </c:pt>
                <c:pt idx="35">
                  <c:v>0.70000000000000029</c:v>
                </c:pt>
                <c:pt idx="36">
                  <c:v>0.72000000000000031</c:v>
                </c:pt>
                <c:pt idx="37">
                  <c:v>0.74000000000000032</c:v>
                </c:pt>
                <c:pt idx="38">
                  <c:v>0.76000000000000034</c:v>
                </c:pt>
                <c:pt idx="39">
                  <c:v>0.78000000000000036</c:v>
                </c:pt>
                <c:pt idx="40">
                  <c:v>0.80000000000000038</c:v>
                </c:pt>
                <c:pt idx="41">
                  <c:v>0.8200000000000004</c:v>
                </c:pt>
                <c:pt idx="42">
                  <c:v>0.84000000000000041</c:v>
                </c:pt>
                <c:pt idx="43">
                  <c:v>0.86000000000000043</c:v>
                </c:pt>
                <c:pt idx="44">
                  <c:v>0.88000000000000045</c:v>
                </c:pt>
                <c:pt idx="45">
                  <c:v>0.90000000000000047</c:v>
                </c:pt>
                <c:pt idx="46">
                  <c:v>0.92000000000000048</c:v>
                </c:pt>
                <c:pt idx="47">
                  <c:v>0.9400000000000005</c:v>
                </c:pt>
                <c:pt idx="48">
                  <c:v>0.96000000000000052</c:v>
                </c:pt>
                <c:pt idx="49">
                  <c:v>0.98000000000000054</c:v>
                </c:pt>
              </c:numCache>
            </c:numRef>
          </c:cat>
          <c:val>
            <c:numRef>
              <c:f>Beta!$AI$4:$AI$53</c:f>
              <c:numCache>
                <c:formatCode>General</c:formatCode>
                <c:ptCount val="50"/>
                <c:pt idx="0">
                  <c:v>0</c:v>
                </c:pt>
                <c:pt idx="1">
                  <c:v>1.5152288168283162E-2</c:v>
                </c:pt>
                <c:pt idx="2">
                  <c:v>3.0618621784789732E-2</c:v>
                </c:pt>
                <c:pt idx="3">
                  <c:v>4.6413956081645696E-2</c:v>
                </c:pt>
                <c:pt idx="4">
                  <c:v>6.2554324217122426E-2</c:v>
                </c:pt>
                <c:pt idx="5">
                  <c:v>7.9056941504209499E-2</c:v>
                </c:pt>
                <c:pt idx="6">
                  <c:v>9.5940322360024699E-2</c:v>
                </c:pt>
                <c:pt idx="7">
                  <c:v>0.11322441186361036</c:v>
                </c:pt>
                <c:pt idx="8">
                  <c:v>0.13093073414159542</c:v>
                </c:pt>
                <c:pt idx="9">
                  <c:v>0.14908256020104285</c:v>
                </c:pt>
                <c:pt idx="10">
                  <c:v>0.1677050983124842</c:v>
                </c:pt>
                <c:pt idx="11">
                  <c:v>0.18682571063385825</c:v>
                </c:pt>
                <c:pt idx="12">
                  <c:v>0.20647416048350559</c:v>
                </c:pt>
                <c:pt idx="13">
                  <c:v>0.22668289555044754</c:v>
                </c:pt>
                <c:pt idx="14">
                  <c:v>0.24748737341529159</c:v>
                </c:pt>
                <c:pt idx="15">
                  <c:v>0.2689264371002385</c:v>
                </c:pt>
                <c:pt idx="16">
                  <c:v>0.29104275004359959</c:v>
                </c:pt>
                <c:pt idx="17">
                  <c:v>0.31388330199729858</c:v>
                </c:pt>
                <c:pt idx="18">
                  <c:v>0.33750000000000008</c:v>
                </c:pt>
                <c:pt idx="19">
                  <c:v>0.36195036195054298</c:v>
                </c:pt>
                <c:pt idx="20">
                  <c:v>0.38729833462074181</c:v>
                </c:pt>
                <c:pt idx="21">
                  <c:v>0.41361526350812622</c:v>
                </c:pt>
                <c:pt idx="22">
                  <c:v>0.44098104915550046</c:v>
                </c:pt>
                <c:pt idx="23">
                  <c:v>0.46948553403344268</c:v>
                </c:pt>
                <c:pt idx="24">
                  <c:v>0.49923017660270647</c:v>
                </c:pt>
                <c:pt idx="25">
                  <c:v>0.53033008588991082</c:v>
                </c:pt>
                <c:pt idx="26">
                  <c:v>0.56291651245988539</c:v>
                </c:pt>
                <c:pt idx="27">
                  <c:v>0.59713992242733371</c:v>
                </c:pt>
                <c:pt idx="28">
                  <c:v>0.63317382361330399</c:v>
                </c:pt>
                <c:pt idx="29">
                  <c:v>0.67121957233510021</c:v>
                </c:pt>
                <c:pt idx="30">
                  <c:v>0.71151247353788571</c:v>
                </c:pt>
                <c:pt idx="31">
                  <c:v>0.75432960825804629</c:v>
                </c:pt>
                <c:pt idx="32">
                  <c:v>0.8000000000000006</c:v>
                </c:pt>
                <c:pt idx="33">
                  <c:v>0.84891799645541943</c:v>
                </c:pt>
                <c:pt idx="34">
                  <c:v>0.90156114601284887</c:v>
                </c:pt>
                <c:pt idx="35">
                  <c:v>0.95851447563404157</c:v>
                </c:pt>
                <c:pt idx="36">
                  <c:v>1.0205040771249145</c:v>
                </c:pt>
                <c:pt idx="37">
                  <c:v>1.0884445500169226</c:v>
                </c:pt>
                <c:pt idx="38">
                  <c:v>1.1635076278220109</c:v>
                </c:pt>
                <c:pt idx="39">
                  <c:v>1.2472241906803225</c:v>
                </c:pt>
                <c:pt idx="40">
                  <c:v>1.3416407864998758</c:v>
                </c:pt>
                <c:pt idx="41">
                  <c:v>1.4495689014324247</c:v>
                </c:pt>
                <c:pt idx="42">
                  <c:v>1.5750000000000028</c:v>
                </c:pt>
                <c:pt idx="43">
                  <c:v>1.7238350103351407</c:v>
                </c:pt>
                <c:pt idx="44">
                  <c:v>1.9052558883257698</c:v>
                </c:pt>
                <c:pt idx="45">
                  <c:v>2.134537420613662</c:v>
                </c:pt>
                <c:pt idx="46">
                  <c:v>2.4395183950935975</c:v>
                </c:pt>
                <c:pt idx="47">
                  <c:v>2.8781504477702482</c:v>
                </c:pt>
                <c:pt idx="48">
                  <c:v>3.6000000000000258</c:v>
                </c:pt>
                <c:pt idx="49">
                  <c:v>5.1972348417211975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294128"/>
        <c:axId val="684303536"/>
      </c:lineChart>
      <c:catAx>
        <c:axId val="684294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303536"/>
        <c:crosses val="autoZero"/>
        <c:auto val="1"/>
        <c:lblAlgn val="ctr"/>
        <c:lblOffset val="100"/>
        <c:tickLblSkip val="5"/>
        <c:noMultiLvlLbl val="0"/>
      </c:catAx>
      <c:valAx>
        <c:axId val="684303536"/>
        <c:scaling>
          <c:orientation val="minMax"/>
          <c:max val="4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crossAx val="684294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Poisson </a:t>
            </a:r>
            <a:r>
              <a:rPr lang="el-GR"/>
              <a:t>λ = 3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'Poisson 1'!$F$2:$F$14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'Poisson 1'!$H$2:$H$14</c:f>
              <c:numCache>
                <c:formatCode>General</c:formatCode>
                <c:ptCount val="13"/>
                <c:pt idx="0">
                  <c:v>4.9787068367863944E-2</c:v>
                </c:pt>
                <c:pt idx="1">
                  <c:v>0.14936120510359185</c:v>
                </c:pt>
                <c:pt idx="2">
                  <c:v>0.22404180765538775</c:v>
                </c:pt>
                <c:pt idx="3">
                  <c:v>0.22404180765538778</c:v>
                </c:pt>
                <c:pt idx="4">
                  <c:v>0.16803135574154085</c:v>
                </c:pt>
                <c:pt idx="5">
                  <c:v>0.10081881344492449</c:v>
                </c:pt>
                <c:pt idx="6">
                  <c:v>5.0409406722462261E-2</c:v>
                </c:pt>
                <c:pt idx="7">
                  <c:v>2.1604031452483807E-2</c:v>
                </c:pt>
                <c:pt idx="8">
                  <c:v>8.1015117946814375E-3</c:v>
                </c:pt>
                <c:pt idx="9">
                  <c:v>2.7005039315604771E-3</c:v>
                </c:pt>
                <c:pt idx="10">
                  <c:v>8.1015117946814244E-4</c:v>
                </c:pt>
                <c:pt idx="11">
                  <c:v>2.2095032167312987E-4</c:v>
                </c:pt>
                <c:pt idx="12">
                  <c:v>5.5237580418282596E-5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295696"/>
        <c:axId val="684295304"/>
      </c:barChart>
      <c:catAx>
        <c:axId val="68429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5304"/>
        <c:crosses val="autoZero"/>
        <c:auto val="1"/>
        <c:lblAlgn val="ctr"/>
        <c:lblOffset val="100"/>
        <c:noMultiLvlLbl val="0"/>
      </c:catAx>
      <c:valAx>
        <c:axId val="684295304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295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Poisson </a:t>
            </a:r>
            <a:r>
              <a:rPr lang="el-GR"/>
              <a:t>λ = </a:t>
            </a:r>
            <a:r>
              <a:rPr lang="it-IT"/>
              <a:t>2</a:t>
            </a:r>
            <a:endParaRPr lang="el-G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'Poisson 1'!$F$2:$F$14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'Poisson 1'!$G$2:$G$14</c:f>
              <c:numCache>
                <c:formatCode>General</c:formatCode>
                <c:ptCount val="13"/>
                <c:pt idx="0">
                  <c:v>0.1353352832366127</c:v>
                </c:pt>
                <c:pt idx="1">
                  <c:v>0.27067056647322535</c:v>
                </c:pt>
                <c:pt idx="2">
                  <c:v>0.27067056647322546</c:v>
                </c:pt>
                <c:pt idx="3">
                  <c:v>0.18044704431548364</c:v>
                </c:pt>
                <c:pt idx="4">
                  <c:v>9.022352215774182E-2</c:v>
                </c:pt>
                <c:pt idx="5">
                  <c:v>3.6089408863096716E-2</c:v>
                </c:pt>
                <c:pt idx="6">
                  <c:v>1.2029802954365572E-2</c:v>
                </c:pt>
                <c:pt idx="7">
                  <c:v>3.4370865583901629E-3</c:v>
                </c:pt>
                <c:pt idx="8">
                  <c:v>8.5927163959754148E-4</c:v>
                </c:pt>
                <c:pt idx="9">
                  <c:v>1.9094925324389769E-4</c:v>
                </c:pt>
                <c:pt idx="10">
                  <c:v>3.8189850648779602E-5</c:v>
                </c:pt>
                <c:pt idx="11">
                  <c:v>6.9436092088690095E-6</c:v>
                </c:pt>
                <c:pt idx="12">
                  <c:v>1.1572682014781686E-6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03928"/>
        <c:axId val="684298832"/>
      </c:barChart>
      <c:catAx>
        <c:axId val="684303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8832"/>
        <c:crosses val="autoZero"/>
        <c:auto val="1"/>
        <c:lblAlgn val="ctr"/>
        <c:lblOffset val="100"/>
        <c:noMultiLvlLbl val="0"/>
      </c:catAx>
      <c:valAx>
        <c:axId val="684298832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303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Poisson </a:t>
            </a:r>
            <a:r>
              <a:rPr lang="el-GR"/>
              <a:t>λ = </a:t>
            </a:r>
            <a:r>
              <a:rPr lang="it-IT"/>
              <a:t>4</a:t>
            </a:r>
            <a:endParaRPr lang="el-G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'Poisson 1'!$F$2:$F$14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'Poisson 1'!$I$2:$I$14</c:f>
              <c:numCache>
                <c:formatCode>General</c:formatCode>
                <c:ptCount val="13"/>
                <c:pt idx="0">
                  <c:v>1.8315638888734179E-2</c:v>
                </c:pt>
                <c:pt idx="1">
                  <c:v>7.3262555554936715E-2</c:v>
                </c:pt>
                <c:pt idx="2">
                  <c:v>0.14652511110987346</c:v>
                </c:pt>
                <c:pt idx="3">
                  <c:v>0.19536681481316462</c:v>
                </c:pt>
                <c:pt idx="4">
                  <c:v>0.19536681481316462</c:v>
                </c:pt>
                <c:pt idx="5">
                  <c:v>0.1562934518505317</c:v>
                </c:pt>
                <c:pt idx="6">
                  <c:v>0.10419563456702115</c:v>
                </c:pt>
                <c:pt idx="7">
                  <c:v>5.9540362609726373E-2</c:v>
                </c:pt>
                <c:pt idx="8">
                  <c:v>2.9770181304863183E-2</c:v>
                </c:pt>
                <c:pt idx="9">
                  <c:v>1.3231191691050297E-2</c:v>
                </c:pt>
                <c:pt idx="10">
                  <c:v>5.2924766764201169E-3</c:v>
                </c:pt>
                <c:pt idx="11">
                  <c:v>1.9245369732436813E-3</c:v>
                </c:pt>
                <c:pt idx="12">
                  <c:v>6.4151232441456022E-4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00008"/>
        <c:axId val="684293736"/>
      </c:barChart>
      <c:catAx>
        <c:axId val="684300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293736"/>
        <c:crosses val="autoZero"/>
        <c:auto val="1"/>
        <c:lblAlgn val="ctr"/>
        <c:lblOffset val="100"/>
        <c:noMultiLvlLbl val="0"/>
      </c:catAx>
      <c:valAx>
        <c:axId val="684293736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300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Binomial Distribution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'Bin Power 1'!$A$11:$A$31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'Bin Power 1'!$B$11:$B$31</c:f>
              <c:numCache>
                <c:formatCode>General</c:formatCode>
                <c:ptCount val="21"/>
                <c:pt idx="0">
                  <c:v>3.2353447101972727E-5</c:v>
                </c:pt>
                <c:pt idx="1">
                  <c:v>4.1810608562549434E-4</c:v>
                </c:pt>
                <c:pt idx="2">
                  <c:v>2.5890415302194068E-3</c:v>
                </c:pt>
                <c:pt idx="3">
                  <c:v>1.0223394760353558E-2</c:v>
                </c:pt>
                <c:pt idx="4">
                  <c:v>2.8900750572537902E-2</c:v>
                </c:pt>
                <c:pt idx="5">
                  <c:v>6.2247770463927883E-2</c:v>
                </c:pt>
                <c:pt idx="6">
                  <c:v>0.10614042912438973</c:v>
                </c:pt>
                <c:pt idx="7">
                  <c:v>0.14696367109530883</c:v>
                </c:pt>
                <c:pt idx="8">
                  <c:v>0.16816035442636298</c:v>
                </c:pt>
                <c:pt idx="9">
                  <c:v>0.16097401449361234</c:v>
                </c:pt>
                <c:pt idx="10">
                  <c:v>0.13001747324484075</c:v>
                </c:pt>
                <c:pt idx="11">
                  <c:v>8.910288376219852E-2</c:v>
                </c:pt>
                <c:pt idx="12">
                  <c:v>5.1976682194615778E-2</c:v>
                </c:pt>
                <c:pt idx="13">
                  <c:v>2.5834563931051636E-2</c:v>
                </c:pt>
                <c:pt idx="14">
                  <c:v>1.0930007816983389E-2</c:v>
                </c:pt>
                <c:pt idx="15">
                  <c:v>3.9235925496863416E-3</c:v>
                </c:pt>
                <c:pt idx="16">
                  <c:v>1.1883958203376906E-3</c:v>
                </c:pt>
                <c:pt idx="17">
                  <c:v>3.0113197257425589E-4</c:v>
                </c:pt>
                <c:pt idx="18">
                  <c:v>6.3057549812557776E-5</c:v>
                </c:pt>
                <c:pt idx="19">
                  <c:v>1.0722336405374225E-5</c:v>
                </c:pt>
                <c:pt idx="20">
                  <c:v>1.4433914391849863E-6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01184"/>
        <c:axId val="684304320"/>
      </c:barChart>
      <c:catAx>
        <c:axId val="68430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4304320"/>
        <c:crosses val="autoZero"/>
        <c:auto val="1"/>
        <c:lblAlgn val="ctr"/>
        <c:lblOffset val="100"/>
        <c:noMultiLvlLbl val="0"/>
      </c:catAx>
      <c:valAx>
        <c:axId val="684304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301184"/>
        <c:crosses val="autoZero"/>
        <c:crossBetween val="between"/>
      </c:valAx>
    </c:plotArea>
    <c:plotVisOnly val="1"/>
    <c:dispBlanksAs val="gap"/>
    <c:showDLblsOverMax val="0"/>
  </c:chart>
  <c:spPr>
    <a:ln>
      <a:prstDash val="solid"/>
    </a:ln>
  </c:spPr>
  <c:printSettings>
    <c:headerFooter/>
    <c:pageMargins b="0.75" l="0.7" r="0.7" t="0.75" header="0.3" footer="0.3"/>
    <c:pageSetup/>
  </c:printSettings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Power Curve - one-tailed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'Bin Power 1'!$M$11:$M$22</c:f>
              <c:numCache>
                <c:formatCode>_(* #,##0.00_);_(* \(#,##0.00\);_(* "-"??_);_(@_)</c:formatCode>
                <c:ptCount val="12"/>
                <c:pt idx="0">
                  <c:v>0.35</c:v>
                </c:pt>
                <c:pt idx="1">
                  <c:v>0.39999999999999997</c:v>
                </c:pt>
                <c:pt idx="2">
                  <c:v>0.44999999999999996</c:v>
                </c:pt>
                <c:pt idx="3">
                  <c:v>0.49999999999999994</c:v>
                </c:pt>
                <c:pt idx="4">
                  <c:v>0.54999999999999993</c:v>
                </c:pt>
                <c:pt idx="5">
                  <c:v>0.6</c:v>
                </c:pt>
                <c:pt idx="6">
                  <c:v>0.65</c:v>
                </c:pt>
                <c:pt idx="7">
                  <c:v>0.70000000000000007</c:v>
                </c:pt>
                <c:pt idx="8">
                  <c:v>0.75000000000000011</c:v>
                </c:pt>
                <c:pt idx="9">
                  <c:v>0.80000000000000016</c:v>
                </c:pt>
                <c:pt idx="10">
                  <c:v>0.8500000000000002</c:v>
                </c:pt>
                <c:pt idx="11">
                  <c:v>0.90000000000000024</c:v>
                </c:pt>
              </c:numCache>
            </c:numRef>
          </c:cat>
          <c:val>
            <c:numRef>
              <c:f>'Bin Power 1'!$O$11:$O$22</c:f>
              <c:numCache>
                <c:formatCode>General</c:formatCode>
                <c:ptCount val="12"/>
                <c:pt idx="0">
                  <c:v>4.2253074798904944E-2</c:v>
                </c:pt>
                <c:pt idx="1">
                  <c:v>0.11426508231924382</c:v>
                </c:pt>
                <c:pt idx="2">
                  <c:v>0.24203348196563079</c:v>
                </c:pt>
                <c:pt idx="3">
                  <c:v>0.41940987110137962</c:v>
                </c:pt>
                <c:pt idx="4">
                  <c:v>0.61509877590358863</c:v>
                </c:pt>
                <c:pt idx="5">
                  <c:v>0.78697820103945881</c:v>
                </c:pt>
                <c:pt idx="6">
                  <c:v>0.90577024300647924</c:v>
                </c:pt>
                <c:pt idx="7">
                  <c:v>0.96860634590402539</c:v>
                </c:pt>
                <c:pt idx="8">
                  <c:v>0.9928003499921445</c:v>
                </c:pt>
                <c:pt idx="9">
                  <c:v>0.9990220301677466</c:v>
                </c:pt>
                <c:pt idx="10">
                  <c:v>0.99994069020732579</c:v>
                </c:pt>
                <c:pt idx="11">
                  <c:v>0.99999915055641087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305104"/>
        <c:axId val="684293344"/>
      </c:lineChart>
      <c:catAx>
        <c:axId val="684305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Actual value of p</a:t>
                </a:r>
              </a:p>
            </c:rich>
          </c:tx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crossAx val="684293344"/>
        <c:crosses val="autoZero"/>
        <c:auto val="1"/>
        <c:lblAlgn val="ctr"/>
        <c:lblOffset val="100"/>
        <c:noMultiLvlLbl val="0"/>
      </c:catAx>
      <c:valAx>
        <c:axId val="684293344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Power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crossAx val="684305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 Chart 2'!$B$21</c:f>
              <c:strCache>
                <c:ptCount val="1"/>
                <c:pt idx="0">
                  <c:v>Income</c:v>
                </c:pt>
              </c:strCache>
            </c:strRef>
          </c:tx>
          <c:marker>
            <c:symbol val="none"/>
          </c:marker>
          <c:val>
            <c:numRef>
              <c:f>'Line Chart 2'!$B$22:$B$31</c:f>
              <c:numCache>
                <c:formatCode>General</c:formatCode>
                <c:ptCount val="10"/>
                <c:pt idx="0">
                  <c:v>23500</c:v>
                </c:pt>
                <c:pt idx="1">
                  <c:v>24000</c:v>
                </c:pt>
                <c:pt idx="2">
                  <c:v>25000</c:v>
                </c:pt>
                <c:pt idx="3">
                  <c:v>26700</c:v>
                </c:pt>
                <c:pt idx="4">
                  <c:v>27500</c:v>
                </c:pt>
                <c:pt idx="5">
                  <c:v>29200</c:v>
                </c:pt>
                <c:pt idx="6">
                  <c:v>33000</c:v>
                </c:pt>
                <c:pt idx="7">
                  <c:v>35100</c:v>
                </c:pt>
                <c:pt idx="8">
                  <c:v>37400</c:v>
                </c:pt>
                <c:pt idx="9">
                  <c:v>39500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309416"/>
        <c:axId val="684314904"/>
      </c:lineChart>
      <c:catAx>
        <c:axId val="684309416"/>
        <c:scaling>
          <c:orientation val="minMax"/>
        </c:scaling>
        <c:delete val="0"/>
        <c:axPos val="b"/>
        <c:majorTickMark val="out"/>
        <c:minorTickMark val="none"/>
        <c:tickLblPos val="nextTo"/>
        <c:crossAx val="684314904"/>
        <c:crosses val="autoZero"/>
        <c:auto val="1"/>
        <c:lblAlgn val="ctr"/>
        <c:lblOffset val="100"/>
        <c:noMultiLvlLbl val="0"/>
      </c:catAx>
      <c:valAx>
        <c:axId val="684314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4309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Power Curve - two-tailed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'Bin Power 2'!$A$12:$A$23</c:f>
              <c:numCache>
                <c:formatCode>_(* #,##0.00_);_(* \(#,##0.00\);_(* "-"??_);_(@_)</c:formatCode>
                <c:ptCount val="12"/>
                <c:pt idx="0">
                  <c:v>0.35</c:v>
                </c:pt>
                <c:pt idx="1">
                  <c:v>0.39999999999999997</c:v>
                </c:pt>
                <c:pt idx="2">
                  <c:v>0.44999999999999996</c:v>
                </c:pt>
                <c:pt idx="3">
                  <c:v>0.49999999999999994</c:v>
                </c:pt>
                <c:pt idx="4">
                  <c:v>0.54999999999999993</c:v>
                </c:pt>
                <c:pt idx="5">
                  <c:v>0.6</c:v>
                </c:pt>
                <c:pt idx="6">
                  <c:v>0.65</c:v>
                </c:pt>
                <c:pt idx="7">
                  <c:v>0.70000000000000007</c:v>
                </c:pt>
                <c:pt idx="8">
                  <c:v>0.75000000000000011</c:v>
                </c:pt>
                <c:pt idx="9">
                  <c:v>0.80000000000000016</c:v>
                </c:pt>
                <c:pt idx="10">
                  <c:v>0.8500000000000002</c:v>
                </c:pt>
                <c:pt idx="11">
                  <c:v>0.90000000000000024</c:v>
                </c:pt>
              </c:numCache>
            </c:numRef>
          </c:cat>
          <c:val>
            <c:numRef>
              <c:f>'Bin Power 2'!$C$12:$C$23</c:f>
              <c:numCache>
                <c:formatCode>General</c:formatCode>
                <c:ptCount val="12"/>
                <c:pt idx="0">
                  <c:v>2.9681406691153711E-2</c:v>
                </c:pt>
                <c:pt idx="1">
                  <c:v>5.6995136997362916E-2</c:v>
                </c:pt>
                <c:pt idx="2">
                  <c:v>0.13490478078768697</c:v>
                </c:pt>
                <c:pt idx="3">
                  <c:v>0.27076667547225963</c:v>
                </c:pt>
                <c:pt idx="4">
                  <c:v>0.45393433061665833</c:v>
                </c:pt>
                <c:pt idx="5">
                  <c:v>0.65024023980991696</c:v>
                </c:pt>
                <c:pt idx="6">
                  <c:v>0.8166675186748954</c:v>
                </c:pt>
                <c:pt idx="7">
                  <c:v>0.92576354262207372</c:v>
                </c:pt>
                <c:pt idx="8">
                  <c:v>0.97866175842065317</c:v>
                </c:pt>
                <c:pt idx="9">
                  <c:v>0.99621162187292978</c:v>
                </c:pt>
                <c:pt idx="10">
                  <c:v>0.99967964271861931</c:v>
                </c:pt>
                <c:pt idx="11">
                  <c:v>0.99999280569327476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93128"/>
        <c:axId val="459796264"/>
      </c:lineChart>
      <c:catAx>
        <c:axId val="459793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Actual value of p</a:t>
                </a:r>
              </a:p>
            </c:rich>
          </c:tx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crossAx val="459796264"/>
        <c:crosses val="autoZero"/>
        <c:auto val="1"/>
        <c:lblAlgn val="ctr"/>
        <c:lblOffset val="100"/>
        <c:noMultiLvlLbl val="0"/>
      </c:catAx>
      <c:valAx>
        <c:axId val="459796264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Power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crossAx val="459793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Exponential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lambda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Expon!$G$3:$G$23</c:f>
              <c:numCache>
                <c:formatCode>General</c:formatCode>
                <c:ptCount val="2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</c:numCache>
            </c:numRef>
          </c:cat>
          <c:val>
            <c:numRef>
              <c:f>Expon!$H$3:$H$23</c:f>
              <c:numCache>
                <c:formatCode>General</c:formatCode>
                <c:ptCount val="21"/>
                <c:pt idx="0">
                  <c:v>1</c:v>
                </c:pt>
                <c:pt idx="1">
                  <c:v>0.81873075307798182</c:v>
                </c:pt>
                <c:pt idx="2">
                  <c:v>0.67032004603563933</c:v>
                </c:pt>
                <c:pt idx="3">
                  <c:v>0.54881163609402639</c:v>
                </c:pt>
                <c:pt idx="4">
                  <c:v>0.44932896411722156</c:v>
                </c:pt>
                <c:pt idx="5">
                  <c:v>0.36787944117144233</c:v>
                </c:pt>
                <c:pt idx="6">
                  <c:v>0.30119421191220214</c:v>
                </c:pt>
                <c:pt idx="7">
                  <c:v>0.24659696394160649</c:v>
                </c:pt>
                <c:pt idx="8">
                  <c:v>0.20189651799465544</c:v>
                </c:pt>
                <c:pt idx="9">
                  <c:v>0.16529888822158656</c:v>
                </c:pt>
                <c:pt idx="10">
                  <c:v>0.13533528323661273</c:v>
                </c:pt>
                <c:pt idx="11">
                  <c:v>0.11080315836233391</c:v>
                </c:pt>
                <c:pt idx="12">
                  <c:v>9.0717953289412512E-2</c:v>
                </c:pt>
                <c:pt idx="13">
                  <c:v>7.4273578214333877E-2</c:v>
                </c:pt>
                <c:pt idx="14">
                  <c:v>6.0810062625217952E-2</c:v>
                </c:pt>
                <c:pt idx="15">
                  <c:v>4.9787068367863924E-2</c:v>
                </c:pt>
                <c:pt idx="16">
                  <c:v>4.076220397836619E-2</c:v>
                </c:pt>
                <c:pt idx="17">
                  <c:v>3.3373269960326052E-2</c:v>
                </c:pt>
                <c:pt idx="18">
                  <c:v>2.7323722447292535E-2</c:v>
                </c:pt>
                <c:pt idx="19">
                  <c:v>2.237077185616557E-2</c:v>
                </c:pt>
                <c:pt idx="20">
                  <c:v>1.8315638888734165E-2</c:v>
                </c:pt>
              </c:numCache>
            </c:numRef>
          </c:val>
          <c:smooth val="0"/>
        </c:ser>
        <c:ser>
          <c:idx val="1"/>
          <c:order val="1"/>
          <c:tx>
            <c:v>lambda 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Expon!$G$3:$G$23</c:f>
              <c:numCache>
                <c:formatCode>General</c:formatCode>
                <c:ptCount val="2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</c:numCache>
            </c:numRef>
          </c:cat>
          <c:val>
            <c:numRef>
              <c:f>Expon!$I$3:$I$23</c:f>
              <c:numCache>
                <c:formatCode>General</c:formatCode>
                <c:ptCount val="21"/>
                <c:pt idx="0">
                  <c:v>2</c:v>
                </c:pt>
                <c:pt idx="1">
                  <c:v>1.3406400920712787</c:v>
                </c:pt>
                <c:pt idx="2">
                  <c:v>0.89865792823444313</c:v>
                </c:pt>
                <c:pt idx="3">
                  <c:v>0.60238842382440405</c:v>
                </c:pt>
                <c:pt idx="4">
                  <c:v>0.40379303598931077</c:v>
                </c:pt>
                <c:pt idx="5">
                  <c:v>0.2706705664732254</c:v>
                </c:pt>
                <c:pt idx="6">
                  <c:v>0.18143590657882502</c:v>
                </c:pt>
                <c:pt idx="7">
                  <c:v>0.12162012525043595</c:v>
                </c:pt>
                <c:pt idx="8">
                  <c:v>8.152440795673245E-2</c:v>
                </c:pt>
                <c:pt idx="9">
                  <c:v>5.4647444894585138E-2</c:v>
                </c:pt>
                <c:pt idx="10">
                  <c:v>3.6631277777468378E-2</c:v>
                </c:pt>
                <c:pt idx="11">
                  <c:v>2.4554679806136896E-2</c:v>
                </c:pt>
                <c:pt idx="12">
                  <c:v>1.645949409804006E-2</c:v>
                </c:pt>
                <c:pt idx="13">
                  <c:v>1.1033128841521543E-2</c:v>
                </c:pt>
                <c:pt idx="14">
                  <c:v>7.395727432965858E-3</c:v>
                </c:pt>
                <c:pt idx="15">
                  <c:v>4.9575043533327126E-3</c:v>
                </c:pt>
                <c:pt idx="16">
                  <c:v>3.3231145463478648E-3</c:v>
                </c:pt>
                <c:pt idx="17">
                  <c:v>2.2275502956896026E-3</c:v>
                </c:pt>
                <c:pt idx="18">
                  <c:v>1.4931716167533558E-3</c:v>
                </c:pt>
                <c:pt idx="19">
                  <c:v>1.0009028668812191E-3</c:v>
                </c:pt>
                <c:pt idx="20">
                  <c:v>6.7092525580502251E-4</c:v>
                </c:pt>
              </c:numCache>
            </c:numRef>
          </c:val>
          <c:smooth val="0"/>
        </c:ser>
        <c:ser>
          <c:idx val="2"/>
          <c:order val="2"/>
          <c:tx>
            <c:v>lambda 3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Expon!$G$3:$G$23</c:f>
              <c:numCache>
                <c:formatCode>General</c:formatCode>
                <c:ptCount val="2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</c:numCache>
            </c:numRef>
          </c:cat>
          <c:val>
            <c:numRef>
              <c:f>Expon!$J$3:$J$23</c:f>
              <c:numCache>
                <c:formatCode>General</c:formatCode>
                <c:ptCount val="21"/>
                <c:pt idx="0">
                  <c:v>3</c:v>
                </c:pt>
                <c:pt idx="1">
                  <c:v>1.6464349082820791</c:v>
                </c:pt>
                <c:pt idx="2">
                  <c:v>0.90358263573660613</c:v>
                </c:pt>
                <c:pt idx="3">
                  <c:v>0.49589666466475951</c:v>
                </c:pt>
                <c:pt idx="4">
                  <c:v>0.27215385986823742</c:v>
                </c:pt>
                <c:pt idx="5">
                  <c:v>0.14936120510359183</c:v>
                </c:pt>
                <c:pt idx="6">
                  <c:v>8.1971167341877704E-2</c:v>
                </c:pt>
                <c:pt idx="7">
                  <c:v>4.4986730461433151E-2</c:v>
                </c:pt>
                <c:pt idx="8">
                  <c:v>2.468924114706009E-2</c:v>
                </c:pt>
                <c:pt idx="9">
                  <c:v>1.354974282783801E-2</c:v>
                </c:pt>
                <c:pt idx="10">
                  <c:v>7.4362565299990815E-3</c:v>
                </c:pt>
                <c:pt idx="11">
                  <c:v>4.0811041126436812E-3</c:v>
                </c:pt>
                <c:pt idx="12">
                  <c:v>2.2397574251300395E-3</c:v>
                </c:pt>
                <c:pt idx="13">
                  <c:v>1.2292049369393592E-3</c:v>
                </c:pt>
                <c:pt idx="14">
                  <c:v>6.7460197253654461E-4</c:v>
                </c:pt>
                <c:pt idx="15">
                  <c:v>3.7022941226003798E-4</c:v>
                </c:pt>
                <c:pt idx="16">
                  <c:v>2.0318620947256132E-4</c:v>
                </c:pt>
                <c:pt idx="17">
                  <c:v>1.115109560523798E-4</c:v>
                </c:pt>
                <c:pt idx="18">
                  <c:v>6.1198510233515655E-5</c:v>
                </c:pt>
                <c:pt idx="19">
                  <c:v>3.3586454527772699E-5</c:v>
                </c:pt>
                <c:pt idx="20">
                  <c:v>1.8432637059984564E-5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89600"/>
        <c:axId val="459786856"/>
      </c:lineChart>
      <c:catAx>
        <c:axId val="459789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6856"/>
        <c:crosses val="autoZero"/>
        <c:auto val="1"/>
        <c:lblAlgn val="ctr"/>
        <c:lblOffset val="100"/>
        <c:tickLblSkip val="5"/>
        <c:tickMarkSkip val="4"/>
        <c:noMultiLvlLbl val="0"/>
      </c:catAx>
      <c:valAx>
        <c:axId val="459786856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9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Weibull Distribution (pdf)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'Weibull A'!$B$6</c:f>
              <c:strCache>
                <c:ptCount val="1"/>
                <c:pt idx="0">
                  <c:v>beta 0.4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'Weibull A'!$A$7:$A$46</c:f>
              <c:numCache>
                <c:formatCode>General</c:formatCode>
                <c:ptCount val="40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0.39999999999999997</c:v>
                </c:pt>
                <c:pt idx="8">
                  <c:v>0.44999999999999996</c:v>
                </c:pt>
                <c:pt idx="9">
                  <c:v>0.49999999999999994</c:v>
                </c:pt>
                <c:pt idx="10">
                  <c:v>0.54999999999999993</c:v>
                </c:pt>
                <c:pt idx="11">
                  <c:v>0.6</c:v>
                </c:pt>
                <c:pt idx="12">
                  <c:v>0.65</c:v>
                </c:pt>
                <c:pt idx="13">
                  <c:v>0.70000000000000007</c:v>
                </c:pt>
                <c:pt idx="14">
                  <c:v>0.75000000000000011</c:v>
                </c:pt>
                <c:pt idx="15">
                  <c:v>0.80000000000000016</c:v>
                </c:pt>
                <c:pt idx="16">
                  <c:v>0.8500000000000002</c:v>
                </c:pt>
                <c:pt idx="17">
                  <c:v>0.90000000000000024</c:v>
                </c:pt>
                <c:pt idx="18">
                  <c:v>0.95000000000000029</c:v>
                </c:pt>
                <c:pt idx="19">
                  <c:v>1.0000000000000002</c:v>
                </c:pt>
                <c:pt idx="20">
                  <c:v>1.0500000000000003</c:v>
                </c:pt>
                <c:pt idx="21">
                  <c:v>1.1000000000000003</c:v>
                </c:pt>
                <c:pt idx="22">
                  <c:v>1.1500000000000004</c:v>
                </c:pt>
                <c:pt idx="23">
                  <c:v>1.2000000000000004</c:v>
                </c:pt>
                <c:pt idx="24">
                  <c:v>1.2500000000000004</c:v>
                </c:pt>
                <c:pt idx="25">
                  <c:v>1.3000000000000005</c:v>
                </c:pt>
                <c:pt idx="26">
                  <c:v>1.3500000000000005</c:v>
                </c:pt>
                <c:pt idx="27">
                  <c:v>1.4000000000000006</c:v>
                </c:pt>
                <c:pt idx="28">
                  <c:v>1.4500000000000006</c:v>
                </c:pt>
                <c:pt idx="29">
                  <c:v>1.5000000000000007</c:v>
                </c:pt>
                <c:pt idx="30">
                  <c:v>1.5500000000000007</c:v>
                </c:pt>
                <c:pt idx="31">
                  <c:v>1.6000000000000008</c:v>
                </c:pt>
                <c:pt idx="32">
                  <c:v>1.6500000000000008</c:v>
                </c:pt>
                <c:pt idx="33">
                  <c:v>1.7000000000000008</c:v>
                </c:pt>
                <c:pt idx="34">
                  <c:v>1.7500000000000009</c:v>
                </c:pt>
                <c:pt idx="35">
                  <c:v>1.8000000000000009</c:v>
                </c:pt>
                <c:pt idx="36">
                  <c:v>1.850000000000001</c:v>
                </c:pt>
                <c:pt idx="37">
                  <c:v>1.900000000000001</c:v>
                </c:pt>
                <c:pt idx="38">
                  <c:v>1.9500000000000011</c:v>
                </c:pt>
                <c:pt idx="39">
                  <c:v>2.0000000000000009</c:v>
                </c:pt>
              </c:numCache>
            </c:numRef>
          </c:cat>
          <c:val>
            <c:numRef>
              <c:f>'Weibull A'!$B$7:$B$46</c:f>
              <c:numCache>
                <c:formatCode>General</c:formatCode>
                <c:ptCount val="40"/>
                <c:pt idx="0">
                  <c:v>1.7850381997646314</c:v>
                </c:pt>
                <c:pt idx="1">
                  <c:v>1.0694592569206118</c:v>
                </c:pt>
                <c:pt idx="2">
                  <c:v>0.78174691185668188</c:v>
                </c:pt>
                <c:pt idx="3">
                  <c:v>0.62130476950109537</c:v>
                </c:pt>
                <c:pt idx="4">
                  <c:v>0.51743917721551058</c:v>
                </c:pt>
                <c:pt idx="5">
                  <c:v>0.44409894163905034</c:v>
                </c:pt>
                <c:pt idx="6">
                  <c:v>0.38926652035485287</c:v>
                </c:pt>
                <c:pt idx="7">
                  <c:v>0.34657323165856135</c:v>
                </c:pt>
                <c:pt idx="8">
                  <c:v>0.31230695815254977</c:v>
                </c:pt>
                <c:pt idx="9">
                  <c:v>0.28414781331663674</c:v>
                </c:pt>
                <c:pt idx="10">
                  <c:v>0.26056647260732857</c:v>
                </c:pt>
                <c:pt idx="11">
                  <c:v>0.24051123695541471</c:v>
                </c:pt>
                <c:pt idx="12">
                  <c:v>0.2232336011423362</c:v>
                </c:pt>
                <c:pt idx="13">
                  <c:v>0.20818546667097215</c:v>
                </c:pt>
                <c:pt idx="14">
                  <c:v>0.19495574061486204</c:v>
                </c:pt>
                <c:pt idx="15">
                  <c:v>0.1832297031217911</c:v>
                </c:pt>
                <c:pt idx="16">
                  <c:v>0.17276210571475831</c:v>
                </c:pt>
                <c:pt idx="17">
                  <c:v>0.16335885429044239</c:v>
                </c:pt>
                <c:pt idx="18">
                  <c:v>0.15486422936421482</c:v>
                </c:pt>
                <c:pt idx="19">
                  <c:v>0.14715177646857691</c:v>
                </c:pt>
                <c:pt idx="20">
                  <c:v>0.14011768821590961</c:v>
                </c:pt>
                <c:pt idx="21">
                  <c:v>0.1336759143583747</c:v>
                </c:pt>
                <c:pt idx="22">
                  <c:v>0.12775449326941821</c:v>
                </c:pt>
                <c:pt idx="23">
                  <c:v>0.12229276169375052</c:v>
                </c:pt>
                <c:pt idx="24">
                  <c:v>0.11723920588147539</c:v>
                </c:pt>
                <c:pt idx="25">
                  <c:v>0.11254978775795979</c:v>
                </c:pt>
                <c:pt idx="26">
                  <c:v>0.10818662747910224</c:v>
                </c:pt>
                <c:pt idx="27">
                  <c:v>0.10411695652839716</c:v>
                </c:pt>
                <c:pt idx="28">
                  <c:v>0.10031227843010845</c:v>
                </c:pt>
                <c:pt idx="29">
                  <c:v>9.674769039304193E-2</c:v>
                </c:pt>
                <c:pt idx="30">
                  <c:v>9.3401330860214044E-2</c:v>
                </c:pt>
                <c:pt idx="31">
                  <c:v>9.0253926415134994E-2</c:v>
                </c:pt>
                <c:pt idx="32">
                  <c:v>8.7288417725715606E-2</c:v>
                </c:pt>
                <c:pt idx="33">
                  <c:v>8.4489648835186643E-2</c:v>
                </c:pt>
                <c:pt idx="34">
                  <c:v>8.1844107581716508E-2</c:v>
                </c:pt>
                <c:pt idx="35">
                  <c:v>7.9339707557446557E-2</c:v>
                </c:pt>
                <c:pt idx="36">
                  <c:v>7.696560402544371E-2</c:v>
                </c:pt>
                <c:pt idx="37">
                  <c:v>7.4712037758860594E-2</c:v>
                </c:pt>
                <c:pt idx="38">
                  <c:v>7.257020196579167E-2</c:v>
                </c:pt>
                <c:pt idx="39">
                  <c:v>7.0532128400339122E-2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'Weibull A'!$C$6</c:f>
              <c:strCache>
                <c:ptCount val="1"/>
                <c:pt idx="0">
                  <c:v>beta 1.0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'Weibull A'!$A$7:$A$46</c:f>
              <c:numCache>
                <c:formatCode>General</c:formatCode>
                <c:ptCount val="40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0.39999999999999997</c:v>
                </c:pt>
                <c:pt idx="8">
                  <c:v>0.44999999999999996</c:v>
                </c:pt>
                <c:pt idx="9">
                  <c:v>0.49999999999999994</c:v>
                </c:pt>
                <c:pt idx="10">
                  <c:v>0.54999999999999993</c:v>
                </c:pt>
                <c:pt idx="11">
                  <c:v>0.6</c:v>
                </c:pt>
                <c:pt idx="12">
                  <c:v>0.65</c:v>
                </c:pt>
                <c:pt idx="13">
                  <c:v>0.70000000000000007</c:v>
                </c:pt>
                <c:pt idx="14">
                  <c:v>0.75000000000000011</c:v>
                </c:pt>
                <c:pt idx="15">
                  <c:v>0.80000000000000016</c:v>
                </c:pt>
                <c:pt idx="16">
                  <c:v>0.8500000000000002</c:v>
                </c:pt>
                <c:pt idx="17">
                  <c:v>0.90000000000000024</c:v>
                </c:pt>
                <c:pt idx="18">
                  <c:v>0.95000000000000029</c:v>
                </c:pt>
                <c:pt idx="19">
                  <c:v>1.0000000000000002</c:v>
                </c:pt>
                <c:pt idx="20">
                  <c:v>1.0500000000000003</c:v>
                </c:pt>
                <c:pt idx="21">
                  <c:v>1.1000000000000003</c:v>
                </c:pt>
                <c:pt idx="22">
                  <c:v>1.1500000000000004</c:v>
                </c:pt>
                <c:pt idx="23">
                  <c:v>1.2000000000000004</c:v>
                </c:pt>
                <c:pt idx="24">
                  <c:v>1.2500000000000004</c:v>
                </c:pt>
                <c:pt idx="25">
                  <c:v>1.3000000000000005</c:v>
                </c:pt>
                <c:pt idx="26">
                  <c:v>1.3500000000000005</c:v>
                </c:pt>
                <c:pt idx="27">
                  <c:v>1.4000000000000006</c:v>
                </c:pt>
                <c:pt idx="28">
                  <c:v>1.4500000000000006</c:v>
                </c:pt>
                <c:pt idx="29">
                  <c:v>1.5000000000000007</c:v>
                </c:pt>
                <c:pt idx="30">
                  <c:v>1.5500000000000007</c:v>
                </c:pt>
                <c:pt idx="31">
                  <c:v>1.6000000000000008</c:v>
                </c:pt>
                <c:pt idx="32">
                  <c:v>1.6500000000000008</c:v>
                </c:pt>
                <c:pt idx="33">
                  <c:v>1.7000000000000008</c:v>
                </c:pt>
                <c:pt idx="34">
                  <c:v>1.7500000000000009</c:v>
                </c:pt>
                <c:pt idx="35">
                  <c:v>1.8000000000000009</c:v>
                </c:pt>
                <c:pt idx="36">
                  <c:v>1.850000000000001</c:v>
                </c:pt>
                <c:pt idx="37">
                  <c:v>1.900000000000001</c:v>
                </c:pt>
                <c:pt idx="38">
                  <c:v>1.9500000000000011</c:v>
                </c:pt>
                <c:pt idx="39">
                  <c:v>2.0000000000000009</c:v>
                </c:pt>
              </c:numCache>
            </c:numRef>
          </c:cat>
          <c:val>
            <c:numRef>
              <c:f>'Weibull A'!$C$7:$C$46</c:f>
              <c:numCache>
                <c:formatCode>General</c:formatCode>
                <c:ptCount val="40"/>
                <c:pt idx="0">
                  <c:v>0.95122942450071402</c:v>
                </c:pt>
                <c:pt idx="1">
                  <c:v>0.90483741803595952</c:v>
                </c:pt>
                <c:pt idx="2">
                  <c:v>0.86070797642505781</c:v>
                </c:pt>
                <c:pt idx="3">
                  <c:v>0.81873075307798182</c:v>
                </c:pt>
                <c:pt idx="4">
                  <c:v>0.77880078307140488</c:v>
                </c:pt>
                <c:pt idx="5">
                  <c:v>0.74081822068171788</c:v>
                </c:pt>
                <c:pt idx="6">
                  <c:v>0.70468808971871344</c:v>
                </c:pt>
                <c:pt idx="7">
                  <c:v>0.67032004603563933</c:v>
                </c:pt>
                <c:pt idx="8">
                  <c:v>0.63762815162177333</c:v>
                </c:pt>
                <c:pt idx="9">
                  <c:v>0.60653065971263342</c:v>
                </c:pt>
                <c:pt idx="10">
                  <c:v>0.57694981038048676</c:v>
                </c:pt>
                <c:pt idx="11">
                  <c:v>0.54881163609402639</c:v>
                </c:pt>
                <c:pt idx="12">
                  <c:v>0.52204577676101604</c:v>
                </c:pt>
                <c:pt idx="13">
                  <c:v>0.49658530379140947</c:v>
                </c:pt>
                <c:pt idx="14">
                  <c:v>0.47236655274101463</c:v>
                </c:pt>
                <c:pt idx="15">
                  <c:v>0.44932896411722151</c:v>
                </c:pt>
                <c:pt idx="16">
                  <c:v>0.4274149319487266</c:v>
                </c:pt>
                <c:pt idx="17">
                  <c:v>0.406569659740599</c:v>
                </c:pt>
                <c:pt idx="18">
                  <c:v>0.38674102345450112</c:v>
                </c:pt>
                <c:pt idx="19">
                  <c:v>0.36787944117144222</c:v>
                </c:pt>
                <c:pt idx="20">
                  <c:v>0.34993774911115527</c:v>
                </c:pt>
                <c:pt idx="21">
                  <c:v>0.33287108369807944</c:v>
                </c:pt>
                <c:pt idx="22">
                  <c:v>0.31663676937905311</c:v>
                </c:pt>
                <c:pt idx="23">
                  <c:v>0.30119421191220197</c:v>
                </c:pt>
                <c:pt idx="24">
                  <c:v>0.28650479686018998</c:v>
                </c:pt>
                <c:pt idx="25">
                  <c:v>0.27253179303401248</c:v>
                </c:pt>
                <c:pt idx="26">
                  <c:v>0.2592402606458914</c:v>
                </c:pt>
                <c:pt idx="27">
                  <c:v>0.24659696394160632</c:v>
                </c:pt>
                <c:pt idx="28">
                  <c:v>0.23457028809379751</c:v>
                </c:pt>
                <c:pt idx="29">
                  <c:v>0.22313016014842968</c:v>
                </c:pt>
                <c:pt idx="30">
                  <c:v>0.2122479738267429</c:v>
                </c:pt>
                <c:pt idx="31">
                  <c:v>0.20189651799465524</c:v>
                </c:pt>
                <c:pt idx="32">
                  <c:v>0.19204990862075397</c:v>
                </c:pt>
                <c:pt idx="33">
                  <c:v>0.1826835240527345</c:v>
                </c:pt>
                <c:pt idx="34">
                  <c:v>0.17377394345044497</c:v>
                </c:pt>
                <c:pt idx="35">
                  <c:v>0.16529888822158639</c:v>
                </c:pt>
                <c:pt idx="36">
                  <c:v>0.15723716631362747</c:v>
                </c:pt>
                <c:pt idx="37">
                  <c:v>0.1495686192226349</c:v>
                </c:pt>
                <c:pt idx="38">
                  <c:v>0.14227407158651342</c:v>
                </c:pt>
                <c:pt idx="39">
                  <c:v>0.13533528323661256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'Weibull A'!$D$6</c:f>
              <c:strCache>
                <c:ptCount val="1"/>
                <c:pt idx="0">
                  <c:v>beta 2.0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'Weibull A'!$A$7:$A$46</c:f>
              <c:numCache>
                <c:formatCode>General</c:formatCode>
                <c:ptCount val="40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0.39999999999999997</c:v>
                </c:pt>
                <c:pt idx="8">
                  <c:v>0.44999999999999996</c:v>
                </c:pt>
                <c:pt idx="9">
                  <c:v>0.49999999999999994</c:v>
                </c:pt>
                <c:pt idx="10">
                  <c:v>0.54999999999999993</c:v>
                </c:pt>
                <c:pt idx="11">
                  <c:v>0.6</c:v>
                </c:pt>
                <c:pt idx="12">
                  <c:v>0.65</c:v>
                </c:pt>
                <c:pt idx="13">
                  <c:v>0.70000000000000007</c:v>
                </c:pt>
                <c:pt idx="14">
                  <c:v>0.75000000000000011</c:v>
                </c:pt>
                <c:pt idx="15">
                  <c:v>0.80000000000000016</c:v>
                </c:pt>
                <c:pt idx="16">
                  <c:v>0.8500000000000002</c:v>
                </c:pt>
                <c:pt idx="17">
                  <c:v>0.90000000000000024</c:v>
                </c:pt>
                <c:pt idx="18">
                  <c:v>0.95000000000000029</c:v>
                </c:pt>
                <c:pt idx="19">
                  <c:v>1.0000000000000002</c:v>
                </c:pt>
                <c:pt idx="20">
                  <c:v>1.0500000000000003</c:v>
                </c:pt>
                <c:pt idx="21">
                  <c:v>1.1000000000000003</c:v>
                </c:pt>
                <c:pt idx="22">
                  <c:v>1.1500000000000004</c:v>
                </c:pt>
                <c:pt idx="23">
                  <c:v>1.2000000000000004</c:v>
                </c:pt>
                <c:pt idx="24">
                  <c:v>1.2500000000000004</c:v>
                </c:pt>
                <c:pt idx="25">
                  <c:v>1.3000000000000005</c:v>
                </c:pt>
                <c:pt idx="26">
                  <c:v>1.3500000000000005</c:v>
                </c:pt>
                <c:pt idx="27">
                  <c:v>1.4000000000000006</c:v>
                </c:pt>
                <c:pt idx="28">
                  <c:v>1.4500000000000006</c:v>
                </c:pt>
                <c:pt idx="29">
                  <c:v>1.5000000000000007</c:v>
                </c:pt>
                <c:pt idx="30">
                  <c:v>1.5500000000000007</c:v>
                </c:pt>
                <c:pt idx="31">
                  <c:v>1.6000000000000008</c:v>
                </c:pt>
                <c:pt idx="32">
                  <c:v>1.6500000000000008</c:v>
                </c:pt>
                <c:pt idx="33">
                  <c:v>1.7000000000000008</c:v>
                </c:pt>
                <c:pt idx="34">
                  <c:v>1.7500000000000009</c:v>
                </c:pt>
                <c:pt idx="35">
                  <c:v>1.8000000000000009</c:v>
                </c:pt>
                <c:pt idx="36">
                  <c:v>1.850000000000001</c:v>
                </c:pt>
                <c:pt idx="37">
                  <c:v>1.900000000000001</c:v>
                </c:pt>
                <c:pt idx="38">
                  <c:v>1.9500000000000011</c:v>
                </c:pt>
                <c:pt idx="39">
                  <c:v>2.0000000000000009</c:v>
                </c:pt>
              </c:numCache>
            </c:numRef>
          </c:cat>
          <c:val>
            <c:numRef>
              <c:f>'Weibull A'!$D$7:$D$46</c:f>
              <c:numCache>
                <c:formatCode>General</c:formatCode>
                <c:ptCount val="40"/>
                <c:pt idx="0">
                  <c:v>9.9750312239746022E-2</c:v>
                </c:pt>
                <c:pt idx="1">
                  <c:v>0.19800996674983365</c:v>
                </c:pt>
                <c:pt idx="2">
                  <c:v>0.29332537115800095</c:v>
                </c:pt>
                <c:pt idx="3">
                  <c:v>0.38431577566092928</c:v>
                </c:pt>
                <c:pt idx="4">
                  <c:v>0.4697065314067379</c:v>
                </c:pt>
                <c:pt idx="5">
                  <c:v>0.54835871116273693</c:v>
                </c:pt>
                <c:pt idx="6">
                  <c:v>0.61929413346043838</c:v>
                </c:pt>
                <c:pt idx="7">
                  <c:v>0.68171503117296905</c:v>
                </c:pt>
                <c:pt idx="8">
                  <c:v>0.7350178343382997</c:v>
                </c:pt>
                <c:pt idx="9">
                  <c:v>0.77880078307140477</c:v>
                </c:pt>
                <c:pt idx="10">
                  <c:v>0.81286533708483855</c:v>
                </c:pt>
                <c:pt idx="11">
                  <c:v>0.83721159128523726</c:v>
                </c:pt>
                <c:pt idx="12">
                  <c:v>0.85202813062489269</c:v>
                </c:pt>
                <c:pt idx="13">
                  <c:v>0.85767695185818249</c:v>
                </c:pt>
                <c:pt idx="14">
                  <c:v>0.85467423709638446</c:v>
                </c:pt>
                <c:pt idx="15">
                  <c:v>0.8436678784688777</c:v>
                </c:pt>
                <c:pt idx="16">
                  <c:v>0.82541272176193492</c:v>
                </c:pt>
                <c:pt idx="17">
                  <c:v>0.80074451920129386</c:v>
                </c:pt>
                <c:pt idx="18">
                  <c:v>0.77055355962030891</c:v>
                </c:pt>
                <c:pt idx="19">
                  <c:v>0.73575888234288445</c:v>
                </c:pt>
                <c:pt idx="20">
                  <c:v>0.69728388522378715</c:v>
                </c:pt>
                <c:pt idx="21">
                  <c:v>0.65603401474575196</c:v>
                </c:pt>
                <c:pt idx="22">
                  <c:v>0.61287708497110516</c:v>
                </c:pt>
                <c:pt idx="23">
                  <c:v>0.56862662083709192</c:v>
                </c:pt>
                <c:pt idx="24">
                  <c:v>0.52402846787774415</c:v>
                </c:pt>
                <c:pt idx="25">
                  <c:v>0.47975076238177167</c:v>
                </c:pt>
                <c:pt idx="26">
                  <c:v>0.43637721965641552</c:v>
                </c:pt>
                <c:pt idx="27">
                  <c:v>0.39440357857892555</c:v>
                </c:pt>
                <c:pt idx="28">
                  <c:v>0.35423694166597053</c:v>
                </c:pt>
                <c:pt idx="29">
                  <c:v>0.31619767368559243</c:v>
                </c:pt>
                <c:pt idx="30">
                  <c:v>0.28052346915745691</c:v>
                </c:pt>
                <c:pt idx="31">
                  <c:v>0.24737516941855875</c:v>
                </c:pt>
                <c:pt idx="32">
                  <c:v>0.21684390165075906</c:v>
                </c:pt>
                <c:pt idx="33">
                  <c:v>0.18895912287904193</c:v>
                </c:pt>
                <c:pt idx="34">
                  <c:v>0.16369717834385603</c:v>
                </c:pt>
                <c:pt idx="35">
                  <c:v>0.14099002235635305</c:v>
                </c:pt>
                <c:pt idx="36">
                  <c:v>0.12073379717371498</c:v>
                </c:pt>
                <c:pt idx="37">
                  <c:v>0.10279701809213117</c:v>
                </c:pt>
                <c:pt idx="38">
                  <c:v>8.7028167630168671E-2</c:v>
                </c:pt>
                <c:pt idx="39">
                  <c:v>7.3262555554936493E-2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'Weibull A'!$E$6</c:f>
              <c:strCache>
                <c:ptCount val="1"/>
                <c:pt idx="0">
                  <c:v>beta 5.0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'Weibull A'!$A$7:$A$46</c:f>
              <c:numCache>
                <c:formatCode>General</c:formatCode>
                <c:ptCount val="40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0.39999999999999997</c:v>
                </c:pt>
                <c:pt idx="8">
                  <c:v>0.44999999999999996</c:v>
                </c:pt>
                <c:pt idx="9">
                  <c:v>0.49999999999999994</c:v>
                </c:pt>
                <c:pt idx="10">
                  <c:v>0.54999999999999993</c:v>
                </c:pt>
                <c:pt idx="11">
                  <c:v>0.6</c:v>
                </c:pt>
                <c:pt idx="12">
                  <c:v>0.65</c:v>
                </c:pt>
                <c:pt idx="13">
                  <c:v>0.70000000000000007</c:v>
                </c:pt>
                <c:pt idx="14">
                  <c:v>0.75000000000000011</c:v>
                </c:pt>
                <c:pt idx="15">
                  <c:v>0.80000000000000016</c:v>
                </c:pt>
                <c:pt idx="16">
                  <c:v>0.8500000000000002</c:v>
                </c:pt>
                <c:pt idx="17">
                  <c:v>0.90000000000000024</c:v>
                </c:pt>
                <c:pt idx="18">
                  <c:v>0.95000000000000029</c:v>
                </c:pt>
                <c:pt idx="19">
                  <c:v>1.0000000000000002</c:v>
                </c:pt>
                <c:pt idx="20">
                  <c:v>1.0500000000000003</c:v>
                </c:pt>
                <c:pt idx="21">
                  <c:v>1.1000000000000003</c:v>
                </c:pt>
                <c:pt idx="22">
                  <c:v>1.1500000000000004</c:v>
                </c:pt>
                <c:pt idx="23">
                  <c:v>1.2000000000000004</c:v>
                </c:pt>
                <c:pt idx="24">
                  <c:v>1.2500000000000004</c:v>
                </c:pt>
                <c:pt idx="25">
                  <c:v>1.3000000000000005</c:v>
                </c:pt>
                <c:pt idx="26">
                  <c:v>1.3500000000000005</c:v>
                </c:pt>
                <c:pt idx="27">
                  <c:v>1.4000000000000006</c:v>
                </c:pt>
                <c:pt idx="28">
                  <c:v>1.4500000000000006</c:v>
                </c:pt>
                <c:pt idx="29">
                  <c:v>1.5000000000000007</c:v>
                </c:pt>
                <c:pt idx="30">
                  <c:v>1.5500000000000007</c:v>
                </c:pt>
                <c:pt idx="31">
                  <c:v>1.6000000000000008</c:v>
                </c:pt>
                <c:pt idx="32">
                  <c:v>1.6500000000000008</c:v>
                </c:pt>
                <c:pt idx="33">
                  <c:v>1.7000000000000008</c:v>
                </c:pt>
                <c:pt idx="34">
                  <c:v>1.7500000000000009</c:v>
                </c:pt>
                <c:pt idx="35">
                  <c:v>1.8000000000000009</c:v>
                </c:pt>
                <c:pt idx="36">
                  <c:v>1.850000000000001</c:v>
                </c:pt>
                <c:pt idx="37">
                  <c:v>1.900000000000001</c:v>
                </c:pt>
                <c:pt idx="38">
                  <c:v>1.9500000000000011</c:v>
                </c:pt>
                <c:pt idx="39">
                  <c:v>2.0000000000000009</c:v>
                </c:pt>
              </c:numCache>
            </c:numRef>
          </c:cat>
          <c:val>
            <c:numRef>
              <c:f>'Weibull A'!$E$7:$E$46</c:f>
              <c:numCache>
                <c:formatCode>General</c:formatCode>
                <c:ptCount val="40"/>
                <c:pt idx="0">
                  <c:v>3.1249990234376551E-5</c:v>
                </c:pt>
                <c:pt idx="1">
                  <c:v>4.9999500002500033E-4</c:v>
                </c:pt>
                <c:pt idx="2">
                  <c:v>2.5310577905011747E-3</c:v>
                </c:pt>
                <c:pt idx="3">
                  <c:v>7.997440409556314E-3</c:v>
                </c:pt>
                <c:pt idx="4">
                  <c:v>1.9512185823866716E-2</c:v>
                </c:pt>
                <c:pt idx="5">
                  <c:v>4.040170447742867E-2</c:v>
                </c:pt>
                <c:pt idx="6">
                  <c:v>7.4638204883492057E-2</c:v>
                </c:pt>
                <c:pt idx="7">
                  <c:v>0.12669596803842847</c:v>
                </c:pt>
                <c:pt idx="8">
                  <c:v>0.20128254027692707</c:v>
                </c:pt>
                <c:pt idx="9">
                  <c:v>0.30288538577385743</c:v>
                </c:pt>
                <c:pt idx="10">
                  <c:v>0.43507426945465899</c:v>
                </c:pt>
                <c:pt idx="11">
                  <c:v>0.59952081613126662</c:v>
                </c:pt>
                <c:pt idx="12">
                  <c:v>0.7947538662738447</c:v>
                </c:pt>
                <c:pt idx="13">
                  <c:v>1.0147762417157531</c:v>
                </c:pt>
                <c:pt idx="14">
                  <c:v>1.2478286179129503</c:v>
                </c:pt>
                <c:pt idx="15">
                  <c:v>1.4757756370086468</c:v>
                </c:pt>
                <c:pt idx="16">
                  <c:v>1.6747382458699387</c:v>
                </c:pt>
                <c:pt idx="17">
                  <c:v>1.8175798252210906</c:v>
                </c:pt>
                <c:pt idx="18">
                  <c:v>1.8785191821226919</c:v>
                </c:pt>
                <c:pt idx="19">
                  <c:v>1.839397205857211</c:v>
                </c:pt>
                <c:pt idx="20">
                  <c:v>1.6960754215115859</c:v>
                </c:pt>
                <c:pt idx="21">
                  <c:v>1.4625311976917503</c:v>
                </c:pt>
                <c:pt idx="22">
                  <c:v>1.170145961485169</c:v>
                </c:pt>
                <c:pt idx="23">
                  <c:v>0.86105589290958284</c:v>
                </c:pt>
                <c:pt idx="24">
                  <c:v>0.57709655036975538</c:v>
                </c:pt>
                <c:pt idx="25">
                  <c:v>0.34852858482357207</c:v>
                </c:pt>
                <c:pt idx="26">
                  <c:v>0.18746236845944406</c:v>
                </c:pt>
                <c:pt idx="27">
                  <c:v>8.8662953188255664E-2</c:v>
                </c:pt>
                <c:pt idx="28">
                  <c:v>3.6368876026058788E-2</c:v>
                </c:pt>
                <c:pt idx="29">
                  <c:v>1.2747097821466441E-2</c:v>
                </c:pt>
                <c:pt idx="30">
                  <c:v>3.7569341067389753E-3</c:v>
                </c:pt>
                <c:pt idx="31">
                  <c:v>9.1525524932246536E-4</c:v>
                </c:pt>
                <c:pt idx="32">
                  <c:v>1.8095335837966587E-4</c:v>
                </c:pt>
                <c:pt idx="33">
                  <c:v>2.847115514690975E-5</c:v>
                </c:pt>
                <c:pt idx="34">
                  <c:v>3.4914798936827875E-6</c:v>
                </c:pt>
                <c:pt idx="35">
                  <c:v>3.2641527127466746E-7</c:v>
                </c:pt>
                <c:pt idx="36">
                  <c:v>2.2724865995111773E-8</c:v>
                </c:pt>
                <c:pt idx="37">
                  <c:v>1.1492726845407981E-9</c:v>
                </c:pt>
                <c:pt idx="38">
                  <c:v>4.1129035468507011E-11</c:v>
                </c:pt>
                <c:pt idx="39">
                  <c:v>1.013133243927464E-12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93912"/>
        <c:axId val="459788032"/>
      </c:lineChart>
      <c:catAx>
        <c:axId val="459793912"/>
        <c:scaling>
          <c:orientation val="minMax"/>
        </c:scaling>
        <c:delete val="0"/>
        <c:axPos val="b"/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8032"/>
        <c:crosses val="autoZero"/>
        <c:auto val="1"/>
        <c:lblAlgn val="ctr"/>
        <c:lblOffset val="100"/>
        <c:tickLblSkip val="4"/>
        <c:noMultiLvlLbl val="0"/>
      </c:catAx>
      <c:valAx>
        <c:axId val="45978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93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Weibull Distribution (pdf)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'Weibull B'!$B$6</c:f>
              <c:strCache>
                <c:ptCount val="1"/>
                <c:pt idx="0">
                  <c:v>alpha 0.4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'Weibull B'!$A$7:$A$46</c:f>
              <c:numCache>
                <c:formatCode>General</c:formatCode>
                <c:ptCount val="4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</c:numCache>
            </c:numRef>
          </c:cat>
          <c:val>
            <c:numRef>
              <c:f>'Weibull B'!$B$7:$B$46</c:f>
              <c:numCache>
                <c:formatCode>General</c:formatCode>
                <c:ptCount val="40"/>
                <c:pt idx="0">
                  <c:v>0</c:v>
                </c:pt>
                <c:pt idx="1">
                  <c:v>0.61531027312838027</c:v>
                </c:pt>
                <c:pt idx="2">
                  <c:v>1.1742663285168446</c:v>
                </c:pt>
                <c:pt idx="3">
                  <c:v>1.629028230492831</c:v>
                </c:pt>
                <c:pt idx="4">
                  <c:v>1.9470019576785123</c:v>
                </c:pt>
                <c:pt idx="5">
                  <c:v>2.1144807692554028</c:v>
                </c:pt>
                <c:pt idx="6">
                  <c:v>2.1366855927409611</c:v>
                </c:pt>
                <c:pt idx="7">
                  <c:v>2.0345639480864959</c:v>
                </c:pt>
                <c:pt idx="8">
                  <c:v>1.8393972058572117</c:v>
                </c:pt>
                <c:pt idx="9">
                  <c:v>1.5866041032777123</c:v>
                </c:pt>
                <c:pt idx="10">
                  <c:v>1.3100711696943619</c:v>
                </c:pt>
                <c:pt idx="11">
                  <c:v>1.0379697518844131</c:v>
                </c:pt>
                <c:pt idx="12">
                  <c:v>0.79049418421398299</c:v>
                </c:pt>
                <c:pt idx="13">
                  <c:v>0.57944804691928409</c:v>
                </c:pt>
                <c:pt idx="14">
                  <c:v>0.40924294585964111</c:v>
                </c:pt>
                <c:pt idx="15">
                  <c:v>0.27871140362023816</c:v>
                </c:pt>
                <c:pt idx="16">
                  <c:v>0.18315638888734148</c:v>
                </c:pt>
                <c:pt idx="17">
                  <c:v>0.11620315480017758</c:v>
                </c:pt>
                <c:pt idx="18">
                  <c:v>7.1209298559214471E-2</c:v>
                </c:pt>
                <c:pt idx="19">
                  <c:v>4.2163951617255044E-2</c:v>
                </c:pt>
                <c:pt idx="20">
                  <c:v>2.4130676702846326E-2</c:v>
                </c:pt>
                <c:pt idx="21">
                  <c:v>1.3351771697442911E-2</c:v>
                </c:pt>
                <c:pt idx="22">
                  <c:v>7.1441518796290116E-3</c:v>
                </c:pt>
                <c:pt idx="23">
                  <c:v>3.6973667077595338E-3</c:v>
                </c:pt>
                <c:pt idx="24">
                  <c:v>1.8511470613001837E-3</c:v>
                </c:pt>
                <c:pt idx="25">
                  <c:v>8.967326365541962E-4</c:v>
                </c:pt>
                <c:pt idx="26">
                  <c:v>4.2035662861812732E-4</c:v>
                </c:pt>
                <c:pt idx="27">
                  <c:v>1.9070329572809194E-4</c:v>
                </c:pt>
                <c:pt idx="28">
                  <c:v>8.3739554362257073E-5</c:v>
                </c:pt>
                <c:pt idx="29">
                  <c:v>3.5594024003790565E-5</c:v>
                </c:pt>
                <c:pt idx="30">
                  <c:v>1.4646542640570821E-5</c:v>
                </c:pt>
                <c:pt idx="31">
                  <c:v>5.8349700517360258E-6</c:v>
                </c:pt>
                <c:pt idx="32">
                  <c:v>2.250703494385151E-6</c:v>
                </c:pt>
                <c:pt idx="33">
                  <c:v>8.4062424879844917E-7</c:v>
                </c:pt>
                <c:pt idx="34">
                  <c:v>3.0402889076955913E-7</c:v>
                </c:pt>
                <c:pt idx="35">
                  <c:v>1.0648299160861498E-7</c:v>
                </c:pt>
                <c:pt idx="36">
                  <c:v>3.6117631241675763E-8</c:v>
                </c:pt>
                <c:pt idx="37">
                  <c:v>1.1864551872837028E-8</c:v>
                </c:pt>
                <c:pt idx="38">
                  <c:v>3.774803647447545E-9</c:v>
                </c:pt>
                <c:pt idx="39">
                  <c:v>1.1632279474175261E-9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'Weibull B'!$C$6</c:f>
              <c:strCache>
                <c:ptCount val="1"/>
                <c:pt idx="0">
                  <c:v>alpha 0.8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'Weibull B'!$A$7:$A$46</c:f>
              <c:numCache>
                <c:formatCode>General</c:formatCode>
                <c:ptCount val="4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</c:numCache>
            </c:numRef>
          </c:cat>
          <c:val>
            <c:numRef>
              <c:f>'Weibull B'!$C$7:$C$46</c:f>
              <c:numCache>
                <c:formatCode>General</c:formatCode>
                <c:ptCount val="40"/>
                <c:pt idx="0">
                  <c:v>0</c:v>
                </c:pt>
                <c:pt idx="1">
                  <c:v>0.15564083897970588</c:v>
                </c:pt>
                <c:pt idx="2">
                  <c:v>0.30765513656419019</c:v>
                </c:pt>
                <c:pt idx="3">
                  <c:v>0.45255682134273656</c:v>
                </c:pt>
                <c:pt idx="4">
                  <c:v>0.58713316425842232</c:v>
                </c:pt>
                <c:pt idx="5">
                  <c:v>0.70856298272451845</c:v>
                </c:pt>
                <c:pt idx="6">
                  <c:v>0.81451411524641548</c:v>
                </c:pt>
                <c:pt idx="7">
                  <c:v>0.90321551244542242</c:v>
                </c:pt>
                <c:pt idx="8">
                  <c:v>0.97350097883925613</c:v>
                </c:pt>
                <c:pt idx="9">
                  <c:v>1.0248234326992844</c:v>
                </c:pt>
                <c:pt idx="10">
                  <c:v>1.0572403846277014</c:v>
                </c:pt>
                <c:pt idx="11">
                  <c:v>1.0713730310243716</c:v>
                </c:pt>
                <c:pt idx="12">
                  <c:v>1.0683427963704808</c:v>
                </c:pt>
                <c:pt idx="13">
                  <c:v>1.0496902462710151</c:v>
                </c:pt>
                <c:pt idx="14">
                  <c:v>1.0172819740432482</c:v>
                </c:pt>
                <c:pt idx="15">
                  <c:v>0.97321131722306553</c:v>
                </c:pt>
                <c:pt idx="16">
                  <c:v>0.91969860292860561</c:v>
                </c:pt>
                <c:pt idx="17">
                  <c:v>0.8589961007402469</c:v>
                </c:pt>
                <c:pt idx="18">
                  <c:v>0.79330205163885592</c:v>
                </c:pt>
                <c:pt idx="19">
                  <c:v>0.72468713065086265</c:v>
                </c:pt>
                <c:pt idx="20">
                  <c:v>0.65503558484718061</c:v>
                </c:pt>
                <c:pt idx="21">
                  <c:v>0.58600216044705411</c:v>
                </c:pt>
                <c:pt idx="22">
                  <c:v>0.51898487594220633</c:v>
                </c:pt>
                <c:pt idx="23">
                  <c:v>0.45511277917036169</c:v>
                </c:pt>
                <c:pt idx="24">
                  <c:v>0.39524709210699088</c:v>
                </c:pt>
                <c:pt idx="25">
                  <c:v>0.33999362365712277</c:v>
                </c:pt>
                <c:pt idx="26">
                  <c:v>0.28972402345964177</c:v>
                </c:pt>
                <c:pt idx="27">
                  <c:v>0.24460334648544782</c:v>
                </c:pt>
                <c:pt idx="28">
                  <c:v>0.20462147292982008</c:v>
                </c:pt>
                <c:pt idx="29">
                  <c:v>0.1696261450485983</c:v>
                </c:pt>
                <c:pt idx="30">
                  <c:v>0.13935570181011883</c:v>
                </c:pt>
                <c:pt idx="31">
                  <c:v>0.11346997257416315</c:v>
                </c:pt>
                <c:pt idx="32">
                  <c:v>9.157819444367063E-2</c:v>
                </c:pt>
                <c:pt idx="33">
                  <c:v>7.326321198898042E-2</c:v>
                </c:pt>
                <c:pt idx="34">
                  <c:v>5.8101577400088707E-2</c:v>
                </c:pt>
                <c:pt idx="35">
                  <c:v>4.5679476270755401E-2</c:v>
                </c:pt>
                <c:pt idx="36">
                  <c:v>3.560464927960718E-2</c:v>
                </c:pt>
                <c:pt idx="37">
                  <c:v>2.7514659937310476E-2</c:v>
                </c:pt>
                <c:pt idx="38">
                  <c:v>2.1081975808627456E-2</c:v>
                </c:pt>
                <c:pt idx="39">
                  <c:v>1.6016391790959372E-2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'Weibull B'!$D$6</c:f>
              <c:strCache>
                <c:ptCount val="1"/>
                <c:pt idx="0">
                  <c:v>alpha 1.2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'Weibull B'!$A$7:$A$46</c:f>
              <c:numCache>
                <c:formatCode>General</c:formatCode>
                <c:ptCount val="4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</c:numCache>
            </c:numRef>
          </c:cat>
          <c:val>
            <c:numRef>
              <c:f>'Weibull B'!$D$7:$D$46</c:f>
              <c:numCache>
                <c:formatCode>General</c:formatCode>
                <c:ptCount val="40"/>
                <c:pt idx="0">
                  <c:v>0</c:v>
                </c:pt>
                <c:pt idx="1">
                  <c:v>6.9323985767918928E-2</c:v>
                </c:pt>
                <c:pt idx="2">
                  <c:v>0.13792772395698838</c:v>
                </c:pt>
                <c:pt idx="3">
                  <c:v>0.2051034243761268</c:v>
                </c:pt>
                <c:pt idx="4">
                  <c:v>0.27016791031009679</c:v>
                </c:pt>
                <c:pt idx="5">
                  <c:v>0.33247418136685875</c:v>
                </c:pt>
                <c:pt idx="6">
                  <c:v>0.3914221095056149</c:v>
                </c:pt>
                <c:pt idx="7">
                  <c:v>0.44646802133931529</c:v>
                </c:pt>
                <c:pt idx="8">
                  <c:v>0.49713295378576089</c:v>
                </c:pt>
                <c:pt idx="9">
                  <c:v>0.54300941016427684</c:v>
                </c:pt>
                <c:pt idx="10">
                  <c:v>0.58376648842673973</c:v>
                </c:pt>
                <c:pt idx="11">
                  <c:v>0.6191533007550295</c:v>
                </c:pt>
                <c:pt idx="12">
                  <c:v>0.64900065255950401</c:v>
                </c:pt>
                <c:pt idx="13">
                  <c:v>0.67322099727878815</c:v>
                </c:pt>
                <c:pt idx="14">
                  <c:v>0.69180672967952483</c:v>
                </c:pt>
                <c:pt idx="15">
                  <c:v>0.70482692308513428</c:v>
                </c:pt>
                <c:pt idx="16">
                  <c:v>0.71242265381106062</c:v>
                </c:pt>
                <c:pt idx="17">
                  <c:v>0.71480108796932607</c:v>
                </c:pt>
                <c:pt idx="18">
                  <c:v>0.71222853091365357</c:v>
                </c:pt>
                <c:pt idx="19">
                  <c:v>0.70502265740256187</c:v>
                </c:pt>
                <c:pt idx="20">
                  <c:v>0.69354415083232779</c:v>
                </c:pt>
                <c:pt idx="21">
                  <c:v>0.67818798269549874</c:v>
                </c:pt>
                <c:pt idx="22">
                  <c:v>0.65937455908682518</c:v>
                </c:pt>
                <c:pt idx="23">
                  <c:v>0.63754095018351797</c:v>
                </c:pt>
                <c:pt idx="24">
                  <c:v>0.61313240195240348</c:v>
                </c:pt>
                <c:pt idx="25">
                  <c:v>0.5865943078258099</c:v>
                </c:pt>
                <c:pt idx="26">
                  <c:v>0.5583647927963149</c:v>
                </c:pt>
                <c:pt idx="27">
                  <c:v>0.5288680344259038</c:v>
                </c:pt>
                <c:pt idx="28">
                  <c:v>0.49850841577913457</c:v>
                </c:pt>
                <c:pt idx="29">
                  <c:v>0.46766557537144893</c:v>
                </c:pt>
                <c:pt idx="30">
                  <c:v>0.43669038989811992</c:v>
                </c:pt>
                <c:pt idx="31">
                  <c:v>0.40590189769356477</c:v>
                </c:pt>
                <c:pt idx="32">
                  <c:v>0.37558514534681309</c:v>
                </c:pt>
                <c:pt idx="33">
                  <c:v>0.34598991729480388</c:v>
                </c:pt>
                <c:pt idx="34">
                  <c:v>0.31733028899430538</c:v>
                </c:pt>
                <c:pt idx="35">
                  <c:v>0.2897849287319828</c:v>
                </c:pt>
                <c:pt idx="36">
                  <c:v>0.26349806140466026</c:v>
                </c:pt>
                <c:pt idx="37">
                  <c:v>0.23858099967125987</c:v>
                </c:pt>
                <c:pt idx="38">
                  <c:v>0.21511414359293024</c:v>
                </c:pt>
                <c:pt idx="39">
                  <c:v>0.19314934897309419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'Weibull B'!$E$6</c:f>
              <c:strCache>
                <c:ptCount val="1"/>
                <c:pt idx="0">
                  <c:v>alpha 1.6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'Weibull B'!$A$7:$A$46</c:f>
              <c:numCache>
                <c:formatCode>General</c:formatCode>
                <c:ptCount val="4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</c:numCache>
            </c:numRef>
          </c:cat>
          <c:val>
            <c:numRef>
              <c:f>'Weibull B'!$E$7:$E$46</c:f>
              <c:numCache>
                <c:formatCode>General</c:formatCode>
                <c:ptCount val="40"/>
                <c:pt idx="0">
                  <c:v>0</c:v>
                </c:pt>
                <c:pt idx="1">
                  <c:v>3.9024371647733425E-2</c:v>
                </c:pt>
                <c:pt idx="2">
                  <c:v>7.7820419489852938E-2</c:v>
                </c:pt>
                <c:pt idx="3">
                  <c:v>0.11616204473464668</c:v>
                </c:pt>
                <c:pt idx="4">
                  <c:v>0.15382756828209507</c:v>
                </c:pt>
                <c:pt idx="5">
                  <c:v>0.19060186526087083</c:v>
                </c:pt>
                <c:pt idx="6">
                  <c:v>0.2262784106713682</c:v>
                </c:pt>
                <c:pt idx="7">
                  <c:v>0.26066120893068351</c:v>
                </c:pt>
                <c:pt idx="8">
                  <c:v>0.29356658212921116</c:v>
                </c:pt>
                <c:pt idx="9">
                  <c:v>0.32482479424422922</c:v>
                </c:pt>
                <c:pt idx="10">
                  <c:v>0.35428149136225912</c:v>
                </c:pt>
                <c:pt idx="11">
                  <c:v>0.38179894108044493</c:v>
                </c:pt>
                <c:pt idx="12">
                  <c:v>0.40725705762320763</c:v>
                </c:pt>
                <c:pt idx="13">
                  <c:v>0.43055420275510858</c:v>
                </c:pt>
                <c:pt idx="14">
                  <c:v>0.45160775622271132</c:v>
                </c:pt>
                <c:pt idx="15">
                  <c:v>0.47035445314477758</c:v>
                </c:pt>
                <c:pt idx="16">
                  <c:v>0.48675048941962795</c:v>
                </c:pt>
                <c:pt idx="17">
                  <c:v>0.50077139976158547</c:v>
                </c:pt>
                <c:pt idx="18">
                  <c:v>0.51241171634964222</c:v>
                </c:pt>
                <c:pt idx="19">
                  <c:v>0.52168441921074815</c:v>
                </c:pt>
                <c:pt idx="20">
                  <c:v>0.52862019231385071</c:v>
                </c:pt>
                <c:pt idx="21">
                  <c:v>0.53326650187312397</c:v>
                </c:pt>
                <c:pt idx="22">
                  <c:v>0.53568651551218571</c:v>
                </c:pt>
                <c:pt idx="23">
                  <c:v>0.53595788269707623</c:v>
                </c:pt>
                <c:pt idx="24">
                  <c:v>0.53417139818524029</c:v>
                </c:pt>
                <c:pt idx="25">
                  <c:v>0.53042957115107925</c:v>
                </c:pt>
                <c:pt idx="26">
                  <c:v>0.52484512313550757</c:v>
                </c:pt>
                <c:pt idx="27">
                  <c:v>0.51753943803597302</c:v>
                </c:pt>
                <c:pt idx="28">
                  <c:v>0.50864098702162386</c:v>
                </c:pt>
                <c:pt idx="29">
                  <c:v>0.49828375055033597</c:v>
                </c:pt>
                <c:pt idx="30">
                  <c:v>0.48660565861153265</c:v>
                </c:pt>
                <c:pt idx="31">
                  <c:v>0.47374706895814733</c:v>
                </c:pt>
                <c:pt idx="32">
                  <c:v>0.45984930146430264</c:v>
                </c:pt>
                <c:pt idx="33">
                  <c:v>0.44505324489726322</c:v>
                </c:pt>
                <c:pt idx="34">
                  <c:v>0.42949805037012329</c:v>
                </c:pt>
                <c:pt idx="35">
                  <c:v>0.41331992359362196</c:v>
                </c:pt>
                <c:pt idx="36">
                  <c:v>0.39665102581942779</c:v>
                </c:pt>
                <c:pt idx="37">
                  <c:v>0.37961849110992074</c:v>
                </c:pt>
                <c:pt idx="38">
                  <c:v>0.36234356532543105</c:v>
                </c:pt>
                <c:pt idx="39">
                  <c:v>0.34494087003050028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85288"/>
        <c:axId val="459794696"/>
      </c:lineChart>
      <c:catAx>
        <c:axId val="459785288"/>
        <c:scaling>
          <c:orientation val="minMax"/>
        </c:scaling>
        <c:delete val="0"/>
        <c:axPos val="b"/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94696"/>
        <c:crosses val="autoZero"/>
        <c:auto val="1"/>
        <c:lblAlgn val="ctr"/>
        <c:lblOffset val="100"/>
        <c:tickLblSkip val="4"/>
        <c:noMultiLvlLbl val="0"/>
      </c:catAx>
      <c:valAx>
        <c:axId val="459794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5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Survival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'Weibull 2'!$B$6</c:f>
              <c:strCache>
                <c:ptCount val="1"/>
                <c:pt idx="0">
                  <c:v>Part 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'Weibull 2'!$A$7:$A$27</c:f>
              <c:numCache>
                <c:formatCode>General</c:formatCode>
                <c:ptCount val="2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</c:numCache>
            </c:numRef>
          </c:cat>
          <c:val>
            <c:numRef>
              <c:f>'Weibull 2'!$B$7:$B$27</c:f>
              <c:numCache>
                <c:formatCode>General</c:formatCode>
                <c:ptCount val="21"/>
                <c:pt idx="0">
                  <c:v>1</c:v>
                </c:pt>
                <c:pt idx="1">
                  <c:v>0.99509484172711282</c:v>
                </c:pt>
                <c:pt idx="2">
                  <c:v>0.97765967793562414</c:v>
                </c:pt>
                <c:pt idx="3">
                  <c:v>0.94636221883503646</c:v>
                </c:pt>
                <c:pt idx="4">
                  <c:v>0.90139371528529311</c:v>
                </c:pt>
                <c:pt idx="5">
                  <c:v>0.84399295234168137</c:v>
                </c:pt>
                <c:pt idx="6">
                  <c:v>0.77622686725393564</c:v>
                </c:pt>
                <c:pt idx="7">
                  <c:v>0.70076761920237018</c:v>
                </c:pt>
                <c:pt idx="8">
                  <c:v>0.62064256851156441</c:v>
                </c:pt>
                <c:pt idx="9">
                  <c:v>0.53897124134216867</c:v>
                </c:pt>
                <c:pt idx="10">
                  <c:v>0.45871410596579576</c:v>
                </c:pt>
                <c:pt idx="11">
                  <c:v>0.3824586633659024</c:v>
                </c:pt>
                <c:pt idx="12">
                  <c:v>0.31226310094993492</c:v>
                </c:pt>
                <c:pt idx="13">
                  <c:v>0.24956896127261907</c:v>
                </c:pt>
                <c:pt idx="14">
                  <c:v>0.19518415119971322</c:v>
                </c:pt>
                <c:pt idx="15">
                  <c:v>0.14932822489755238</c:v>
                </c:pt>
                <c:pt idx="16">
                  <c:v>0.11172484505666369</c:v>
                </c:pt>
                <c:pt idx="17">
                  <c:v>8.1722600052817396E-2</c:v>
                </c:pt>
                <c:pt idx="18">
                  <c:v>5.8425084728063847E-2</c:v>
                </c:pt>
                <c:pt idx="19">
                  <c:v>4.0813797823812337E-2</c:v>
                </c:pt>
                <c:pt idx="20">
                  <c:v>2.7851965392809763E-2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'Weibull 2'!$C$6</c:f>
              <c:strCache>
                <c:ptCount val="1"/>
                <c:pt idx="0">
                  <c:v>Part 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'Weibull 2'!$C$7:$C$27</c:f>
              <c:numCache>
                <c:formatCode>General</c:formatCode>
                <c:ptCount val="21"/>
                <c:pt idx="0">
                  <c:v>1</c:v>
                </c:pt>
                <c:pt idx="1">
                  <c:v>0.99899341039950473</c:v>
                </c:pt>
                <c:pt idx="2">
                  <c:v>0.99251094927189432</c:v>
                </c:pt>
                <c:pt idx="3">
                  <c:v>0.97593182129160927</c:v>
                </c:pt>
                <c:pt idx="4">
                  <c:v>0.94543454412948313</c:v>
                </c:pt>
                <c:pt idx="5">
                  <c:v>0.89837052217008173</c:v>
                </c:pt>
                <c:pt idx="6">
                  <c:v>0.83372763635226099</c:v>
                </c:pt>
                <c:pt idx="7">
                  <c:v>0.75250214222834888</c:v>
                </c:pt>
                <c:pt idx="8">
                  <c:v>0.65781963713587532</c:v>
                </c:pt>
                <c:pt idx="9">
                  <c:v>0.55468688765444663</c:v>
                </c:pt>
                <c:pt idx="10">
                  <c:v>0.44934458918744125</c:v>
                </c:pt>
                <c:pt idx="11">
                  <c:v>0.3483130141688775</c:v>
                </c:pt>
                <c:pt idx="12">
                  <c:v>0.25733790876870744</c:v>
                </c:pt>
                <c:pt idx="13">
                  <c:v>0.18050223774939689</c:v>
                </c:pt>
                <c:pt idx="14">
                  <c:v>0.11973501760578686</c:v>
                </c:pt>
                <c:pt idx="15">
                  <c:v>7.4825132492996826E-2</c:v>
                </c:pt>
                <c:pt idx="16">
                  <c:v>4.3883514360712472E-2</c:v>
                </c:pt>
                <c:pt idx="17">
                  <c:v>2.4062116294228053E-2</c:v>
                </c:pt>
                <c:pt idx="18">
                  <c:v>1.2288700757454918E-2</c:v>
                </c:pt>
                <c:pt idx="19">
                  <c:v>5.823561641729369E-3</c:v>
                </c:pt>
                <c:pt idx="20">
                  <c:v>2.5513016825902124E-3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84896"/>
        <c:axId val="459787248"/>
      </c:lineChart>
      <c:catAx>
        <c:axId val="459784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7248"/>
        <c:crosses val="autoZero"/>
        <c:auto val="1"/>
        <c:lblAlgn val="ctr"/>
        <c:lblOffset val="100"/>
        <c:tickLblSkip val="2"/>
        <c:noMultiLvlLbl val="0"/>
      </c:catAx>
      <c:valAx>
        <c:axId val="45978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Probability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4896"/>
        <c:crossesAt val="1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'Reg Wei'!$F$3</c:f>
              <c:strCache>
                <c:ptCount val="1"/>
                <c:pt idx="0">
                  <c:v>ln(-ln(1-F(x)))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'Reg Wei'!$D$4:$D$15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'Reg Wei'!$F$4:$F$15</c:f>
              <c:numCache>
                <c:formatCode>General</c:formatCode>
                <c:ptCount val="12"/>
                <c:pt idx="0">
                  <c:v>-3.1568494936985307</c:v>
                </c:pt>
                <c:pt idx="1">
                  <c:v>-2.0134186780399479</c:v>
                </c:pt>
                <c:pt idx="2">
                  <c:v>-1.4540814547855936</c:v>
                </c:pt>
                <c:pt idx="3">
                  <c:v>-1.0646733274461582</c:v>
                </c:pt>
                <c:pt idx="4">
                  <c:v>-0.75501486250840832</c:v>
                </c:pt>
                <c:pt idx="5">
                  <c:v>-0.48921992871505598</c:v>
                </c:pt>
                <c:pt idx="6">
                  <c:v>-0.24825810104714613</c:v>
                </c:pt>
                <c:pt idx="7">
                  <c:v>-1.9356888580482099E-2</c:v>
                </c:pt>
                <c:pt idx="8">
                  <c:v>0.20875548273706646</c:v>
                </c:pt>
                <c:pt idx="9">
                  <c:v>0.45019364959260355</c:v>
                </c:pt>
                <c:pt idx="10">
                  <c:v>0.73209936808644527</c:v>
                </c:pt>
                <c:pt idx="11">
                  <c:v>1.1562690064065477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89992"/>
        <c:axId val="459786072"/>
      </c:scatterChart>
      <c:valAx>
        <c:axId val="459789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6072"/>
        <c:crosses val="autoZero"/>
        <c:crossBetween val="midCat"/>
      </c:valAx>
      <c:valAx>
        <c:axId val="459786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89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Student's t Distribution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 (df = 5)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Dist'!$D$20:$D$100</c:f>
              <c:numCache>
                <c:formatCode>General</c:formatCode>
                <c:ptCount val="81"/>
                <c:pt idx="0">
                  <c:v>5.1237270519179133E-3</c:v>
                </c:pt>
                <c:pt idx="1">
                  <c:v>5.7483728547693983E-3</c:v>
                </c:pt>
                <c:pt idx="2">
                  <c:v>6.4588483643698387E-3</c:v>
                </c:pt>
                <c:pt idx="3">
                  <c:v>7.2680175325693973E-3</c:v>
                </c:pt>
                <c:pt idx="4">
                  <c:v>8.1907726871290592E-3</c:v>
                </c:pt>
                <c:pt idx="5">
                  <c:v>9.2443540925209264E-3</c:v>
                </c:pt>
                <c:pt idx="6">
                  <c:v>1.0448714749395216E-2</c:v>
                </c:pt>
                <c:pt idx="7">
                  <c:v>1.1826934151171177E-2</c:v>
                </c:pt>
                <c:pt idx="8">
                  <c:v>1.3405683736328894E-2</c:v>
                </c:pt>
                <c:pt idx="9">
                  <c:v>1.5215745044952832E-2</c:v>
                </c:pt>
                <c:pt idx="10">
                  <c:v>1.7292578800222981E-2</c:v>
                </c:pt>
                <c:pt idx="11">
                  <c:v>1.9676938890598534E-2</c:v>
                </c:pt>
                <c:pt idx="12">
                  <c:v>2.2415519021677287E-2</c:v>
                </c:pt>
                <c:pt idx="13">
                  <c:v>2.5561611020544595E-2</c:v>
                </c:pt>
                <c:pt idx="14">
                  <c:v>2.9175741685939342E-2</c:v>
                </c:pt>
                <c:pt idx="15">
                  <c:v>3.3326238887022894E-2</c:v>
                </c:pt>
                <c:pt idx="16">
                  <c:v>3.8089656526432016E-2</c:v>
                </c:pt>
                <c:pt idx="17">
                  <c:v>4.3550961350440079E-2</c:v>
                </c:pt>
                <c:pt idx="18">
                  <c:v>4.9803352151145203E-2</c:v>
                </c:pt>
                <c:pt idx="19">
                  <c:v>5.6947544172170676E-2</c:v>
                </c:pt>
                <c:pt idx="20">
                  <c:v>6.5090310326216635E-2</c:v>
                </c:pt>
                <c:pt idx="21">
                  <c:v>7.4342030033196366E-2</c:v>
                </c:pt>
                <c:pt idx="22">
                  <c:v>8.481296289690396E-2</c:v>
                </c:pt>
                <c:pt idx="23">
                  <c:v>9.6607948713912054E-2</c:v>
                </c:pt>
                <c:pt idx="24">
                  <c:v>0.10981925265599124</c:v>
                </c:pt>
                <c:pt idx="25">
                  <c:v>0.12451734464635547</c:v>
                </c:pt>
                <c:pt idx="26">
                  <c:v>0.140739547894915</c:v>
                </c:pt>
                <c:pt idx="27">
                  <c:v>0.15847673572898288</c:v>
                </c:pt>
                <c:pt idx="28">
                  <c:v>0.17765861346493592</c:v>
                </c:pt>
                <c:pt idx="29">
                  <c:v>0.19813859080334678</c:v>
                </c:pt>
                <c:pt idx="30">
                  <c:v>0.21967979735098106</c:v>
                </c:pt>
                <c:pt idx="31">
                  <c:v>0.24194434361359041</c:v>
                </c:pt>
                <c:pt idx="32">
                  <c:v>0.26448835680795801</c:v>
                </c:pt>
                <c:pt idx="33">
                  <c:v>0.28676545757669847</c:v>
                </c:pt>
                <c:pt idx="34">
                  <c:v>0.3081410097234204</c:v>
                </c:pt>
                <c:pt idx="35">
                  <c:v>0.3279185313227469</c:v>
                </c:pt>
                <c:pt idx="36">
                  <c:v>0.34537807575273377</c:v>
                </c:pt>
                <c:pt idx="37">
                  <c:v>0.3598243283490099</c:v>
                </c:pt>
                <c:pt idx="38">
                  <c:v>0.37063997771396967</c:v>
                </c:pt>
                <c:pt idx="39">
                  <c:v>0.37733812996643123</c:v>
                </c:pt>
                <c:pt idx="40">
                  <c:v>0.3796066898224944</c:v>
                </c:pt>
                <c:pt idx="41">
                  <c:v>0.37733812996643123</c:v>
                </c:pt>
                <c:pt idx="42">
                  <c:v>0.37063997771396939</c:v>
                </c:pt>
                <c:pt idx="43">
                  <c:v>0.35982432834900968</c:v>
                </c:pt>
                <c:pt idx="44">
                  <c:v>0.34537807575273338</c:v>
                </c:pt>
                <c:pt idx="45">
                  <c:v>0.32791853132274645</c:v>
                </c:pt>
                <c:pt idx="46">
                  <c:v>0.30814100972341979</c:v>
                </c:pt>
                <c:pt idx="47">
                  <c:v>0.2867654575766978</c:v>
                </c:pt>
                <c:pt idx="48">
                  <c:v>0.26448835680795757</c:v>
                </c:pt>
                <c:pt idx="49">
                  <c:v>0.24194434361358985</c:v>
                </c:pt>
                <c:pt idx="50">
                  <c:v>0.21967979735098056</c:v>
                </c:pt>
                <c:pt idx="51">
                  <c:v>0.19813859080334623</c:v>
                </c:pt>
                <c:pt idx="52">
                  <c:v>0.17765861346493544</c:v>
                </c:pt>
                <c:pt idx="53">
                  <c:v>0.15847673572898241</c:v>
                </c:pt>
                <c:pt idx="54">
                  <c:v>0.14073954789491452</c:v>
                </c:pt>
                <c:pt idx="55">
                  <c:v>0.12451734464635508</c:v>
                </c:pt>
                <c:pt idx="56">
                  <c:v>0.10981925265599091</c:v>
                </c:pt>
                <c:pt idx="57">
                  <c:v>9.6607948713911748E-2</c:v>
                </c:pt>
                <c:pt idx="58">
                  <c:v>8.4812962896903682E-2</c:v>
                </c:pt>
                <c:pt idx="59">
                  <c:v>7.434203003319613E-2</c:v>
                </c:pt>
                <c:pt idx="60">
                  <c:v>6.5090310326216427E-2</c:v>
                </c:pt>
                <c:pt idx="61">
                  <c:v>5.6947544172170517E-2</c:v>
                </c:pt>
                <c:pt idx="62">
                  <c:v>4.9803352151145064E-2</c:v>
                </c:pt>
                <c:pt idx="63">
                  <c:v>4.355096135043994E-2</c:v>
                </c:pt>
                <c:pt idx="64">
                  <c:v>3.8089656526431905E-2</c:v>
                </c:pt>
                <c:pt idx="65">
                  <c:v>3.332623888702279E-2</c:v>
                </c:pt>
                <c:pt idx="66">
                  <c:v>2.9175741685939248E-2</c:v>
                </c:pt>
                <c:pt idx="67">
                  <c:v>2.5561611020544526E-2</c:v>
                </c:pt>
                <c:pt idx="68">
                  <c:v>2.2415519021677217E-2</c:v>
                </c:pt>
                <c:pt idx="69">
                  <c:v>1.9676938890598485E-2</c:v>
                </c:pt>
                <c:pt idx="70">
                  <c:v>1.7292578800222929E-2</c:v>
                </c:pt>
                <c:pt idx="71">
                  <c:v>1.5215745044952798E-2</c:v>
                </c:pt>
                <c:pt idx="72">
                  <c:v>1.3405683736328861E-2</c:v>
                </c:pt>
                <c:pt idx="73">
                  <c:v>1.1826934151171141E-2</c:v>
                </c:pt>
                <c:pt idx="74">
                  <c:v>1.0448714749395191E-2</c:v>
                </c:pt>
                <c:pt idx="75">
                  <c:v>9.2443540925209022E-3</c:v>
                </c:pt>
                <c:pt idx="76">
                  <c:v>8.1907726871290384E-3</c:v>
                </c:pt>
                <c:pt idx="77">
                  <c:v>7.2680175325693791E-3</c:v>
                </c:pt>
                <c:pt idx="78">
                  <c:v>6.458848364369823E-3</c:v>
                </c:pt>
                <c:pt idx="79">
                  <c:v>5.7483728547693836E-3</c:v>
                </c:pt>
                <c:pt idx="80">
                  <c:v>5.1237270519179038E-3</c:v>
                </c:pt>
              </c:numCache>
            </c:numRef>
          </c:val>
          <c:smooth val="0"/>
        </c:ser>
        <c:ser>
          <c:idx val="1"/>
          <c:order val="1"/>
          <c:tx>
            <c:v>t (df = 10)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Dist'!$E$20:$E$100</c:f>
              <c:numCache>
                <c:formatCode>General</c:formatCode>
                <c:ptCount val="81"/>
                <c:pt idx="0">
                  <c:v>2.0310339110412149E-3</c:v>
                </c:pt>
                <c:pt idx="1">
                  <c:v>2.4066888019954893E-3</c:v>
                </c:pt>
                <c:pt idx="2">
                  <c:v>2.8543943946096055E-3</c:v>
                </c:pt>
                <c:pt idx="3">
                  <c:v>3.3881509779624024E-3</c:v>
                </c:pt>
                <c:pt idx="4">
                  <c:v>4.0246232150294705E-3</c:v>
                </c:pt>
                <c:pt idx="5">
                  <c:v>4.783607126701327E-3</c:v>
                </c:pt>
                <c:pt idx="6">
                  <c:v>5.6885611066299314E-3</c:v>
                </c:pt>
                <c:pt idx="7">
                  <c:v>6.7672024406869426E-3</c:v>
                </c:pt>
                <c:pt idx="8">
                  <c:v>8.0521673723421717E-3</c:v>
                </c:pt>
                <c:pt idx="9">
                  <c:v>9.5817276708977366E-3</c:v>
                </c:pt>
                <c:pt idx="10">
                  <c:v>1.1400549464542539E-2</c:v>
                </c:pt>
                <c:pt idx="11">
                  <c:v>1.3560470295244938E-2</c:v>
                </c:pt>
                <c:pt idx="12">
                  <c:v>1.6121257439422165E-2</c:v>
                </c:pt>
                <c:pt idx="13">
                  <c:v>1.9151294092491021E-2</c:v>
                </c:pt>
                <c:pt idx="14">
                  <c:v>2.2728119798465004E-2</c:v>
                </c:pt>
                <c:pt idx="15">
                  <c:v>2.6938727628244515E-2</c:v>
                </c:pt>
                <c:pt idx="16">
                  <c:v>3.1879493750030623E-2</c:v>
                </c:pt>
                <c:pt idx="17">
                  <c:v>3.7655586709753462E-2</c:v>
                </c:pt>
                <c:pt idx="18">
                  <c:v>4.4379676614245793E-2</c:v>
                </c:pt>
                <c:pt idx="19">
                  <c:v>5.216974260435512E-2</c:v>
                </c:pt>
                <c:pt idx="20">
                  <c:v>6.1145766321218327E-2</c:v>
                </c:pt>
                <c:pt idx="21">
                  <c:v>7.1425107032802609E-2</c:v>
                </c:pt>
                <c:pt idx="22">
                  <c:v>8.3116389653879769E-2</c:v>
                </c:pt>
                <c:pt idx="23">
                  <c:v>9.6311809633229564E-2</c:v>
                </c:pt>
                <c:pt idx="24">
                  <c:v>0.11107787729698358</c:v>
                </c:pt>
                <c:pt idx="25">
                  <c:v>0.12744479428709199</c:v>
                </c:pt>
                <c:pt idx="26">
                  <c:v>0.14539487566000653</c:v>
                </c:pt>
                <c:pt idx="27">
                  <c:v>0.16485069296801974</c:v>
                </c:pt>
                <c:pt idx="28">
                  <c:v>0.18566389362670357</c:v>
                </c:pt>
                <c:pt idx="29">
                  <c:v>0.20760591316421437</c:v>
                </c:pt>
                <c:pt idx="30">
                  <c:v>0.2303619892291392</c:v>
                </c:pt>
                <c:pt idx="31">
                  <c:v>0.25352995055982802</c:v>
                </c:pt>
                <c:pt idx="32">
                  <c:v>0.27662513233825686</c:v>
                </c:pt>
                <c:pt idx="33">
                  <c:v>0.29909241773685297</c:v>
                </c:pt>
                <c:pt idx="34">
                  <c:v>0.32032581052912468</c:v>
                </c:pt>
                <c:pt idx="35">
                  <c:v>0.33969513635207821</c:v>
                </c:pt>
                <c:pt idx="36">
                  <c:v>0.35657853369790415</c:v>
                </c:pt>
                <c:pt idx="37">
                  <c:v>0.37039846155274542</c:v>
                </c:pt>
                <c:pt idx="38">
                  <c:v>0.38065818105444899</c:v>
                </c:pt>
                <c:pt idx="39">
                  <c:v>0.38697522581518046</c:v>
                </c:pt>
                <c:pt idx="40">
                  <c:v>0.38910838396603087</c:v>
                </c:pt>
                <c:pt idx="41">
                  <c:v>0.38697522581518046</c:v>
                </c:pt>
                <c:pt idx="42">
                  <c:v>0.38065818105444899</c:v>
                </c:pt>
                <c:pt idx="43">
                  <c:v>0.37039846155274542</c:v>
                </c:pt>
                <c:pt idx="44">
                  <c:v>0.35657853369790371</c:v>
                </c:pt>
                <c:pt idx="45">
                  <c:v>0.33969513635207782</c:v>
                </c:pt>
                <c:pt idx="46">
                  <c:v>0.32032581052912429</c:v>
                </c:pt>
                <c:pt idx="47">
                  <c:v>0.29909241773685263</c:v>
                </c:pt>
                <c:pt idx="48">
                  <c:v>0.2766251323382562</c:v>
                </c:pt>
                <c:pt idx="49">
                  <c:v>0.25352995055982741</c:v>
                </c:pt>
                <c:pt idx="50">
                  <c:v>0.23036198922913848</c:v>
                </c:pt>
                <c:pt idx="51">
                  <c:v>0.20760591316421392</c:v>
                </c:pt>
                <c:pt idx="52">
                  <c:v>0.18566389362670316</c:v>
                </c:pt>
                <c:pt idx="53">
                  <c:v>0.16485069296801924</c:v>
                </c:pt>
                <c:pt idx="54">
                  <c:v>0.14539487566000608</c:v>
                </c:pt>
                <c:pt idx="55">
                  <c:v>0.12744479428709157</c:v>
                </c:pt>
                <c:pt idx="56">
                  <c:v>0.11107787729698315</c:v>
                </c:pt>
                <c:pt idx="57">
                  <c:v>9.6311809633229176E-2</c:v>
                </c:pt>
                <c:pt idx="58">
                  <c:v>8.3116389653879449E-2</c:v>
                </c:pt>
                <c:pt idx="59">
                  <c:v>7.1425107032802387E-2</c:v>
                </c:pt>
                <c:pt idx="60">
                  <c:v>6.1145766321218126E-2</c:v>
                </c:pt>
                <c:pt idx="61">
                  <c:v>5.2169742604354911E-2</c:v>
                </c:pt>
                <c:pt idx="62">
                  <c:v>4.4379676614245626E-2</c:v>
                </c:pt>
                <c:pt idx="63">
                  <c:v>3.7655586709753316E-2</c:v>
                </c:pt>
                <c:pt idx="64">
                  <c:v>3.1879493750030491E-2</c:v>
                </c:pt>
                <c:pt idx="65">
                  <c:v>2.6938727628244407E-2</c:v>
                </c:pt>
                <c:pt idx="66">
                  <c:v>2.2728119798464907E-2</c:v>
                </c:pt>
                <c:pt idx="67">
                  <c:v>1.9151294092490952E-2</c:v>
                </c:pt>
                <c:pt idx="68">
                  <c:v>1.6121257439422099E-2</c:v>
                </c:pt>
                <c:pt idx="69">
                  <c:v>1.3560470295244894E-2</c:v>
                </c:pt>
                <c:pt idx="70">
                  <c:v>1.1400549464542491E-2</c:v>
                </c:pt>
                <c:pt idx="71">
                  <c:v>9.5817276708977071E-3</c:v>
                </c:pt>
                <c:pt idx="72">
                  <c:v>8.0521673723421387E-3</c:v>
                </c:pt>
                <c:pt idx="73">
                  <c:v>6.7672024406869131E-3</c:v>
                </c:pt>
                <c:pt idx="74">
                  <c:v>5.6885611066299115E-3</c:v>
                </c:pt>
                <c:pt idx="75">
                  <c:v>4.7836071267013062E-3</c:v>
                </c:pt>
                <c:pt idx="76">
                  <c:v>4.0246232150294593E-3</c:v>
                </c:pt>
                <c:pt idx="77">
                  <c:v>3.3881509779623872E-3</c:v>
                </c:pt>
                <c:pt idx="78">
                  <c:v>2.8543943946095934E-3</c:v>
                </c:pt>
                <c:pt idx="79">
                  <c:v>2.4066888019954806E-3</c:v>
                </c:pt>
                <c:pt idx="80">
                  <c:v>2.0310339110412097E-3</c:v>
                </c:pt>
              </c:numCache>
            </c:numRef>
          </c:val>
          <c:smooth val="0"/>
        </c:ser>
        <c:ser>
          <c:idx val="3"/>
          <c:order val="2"/>
          <c:tx>
            <c:v>std norm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Dist'!$G$20:$G$100</c:f>
              <c:numCache>
                <c:formatCode>General</c:formatCode>
                <c:ptCount val="81"/>
                <c:pt idx="0">
                  <c:v>1.3383022576488537E-4</c:v>
                </c:pt>
                <c:pt idx="1">
                  <c:v>1.9865547139277272E-4</c:v>
                </c:pt>
                <c:pt idx="2">
                  <c:v>2.9194692579146027E-4</c:v>
                </c:pt>
                <c:pt idx="3">
                  <c:v>4.2478027055075219E-4</c:v>
                </c:pt>
                <c:pt idx="4">
                  <c:v>6.1190193011377298E-4</c:v>
                </c:pt>
                <c:pt idx="5">
                  <c:v>8.7268269504576167E-4</c:v>
                </c:pt>
                <c:pt idx="6">
                  <c:v>1.232219168473021E-3</c:v>
                </c:pt>
                <c:pt idx="7">
                  <c:v>1.7225689390536843E-3</c:v>
                </c:pt>
                <c:pt idx="8">
                  <c:v>2.3840882014648486E-3</c:v>
                </c:pt>
                <c:pt idx="9">
                  <c:v>3.2668190561999273E-3</c:v>
                </c:pt>
                <c:pt idx="10">
                  <c:v>4.4318484119380188E-3</c:v>
                </c:pt>
                <c:pt idx="11">
                  <c:v>5.9525324197758694E-3</c:v>
                </c:pt>
                <c:pt idx="12">
                  <c:v>7.9154515829799894E-3</c:v>
                </c:pt>
                <c:pt idx="13">
                  <c:v>1.0420934814422628E-2</c:v>
                </c:pt>
                <c:pt idx="14">
                  <c:v>1.3582969233685661E-2</c:v>
                </c:pt>
                <c:pt idx="15">
                  <c:v>1.7528300493568599E-2</c:v>
                </c:pt>
                <c:pt idx="16">
                  <c:v>2.2394530294842969E-2</c:v>
                </c:pt>
                <c:pt idx="17">
                  <c:v>2.8327037741601276E-2</c:v>
                </c:pt>
                <c:pt idx="18">
                  <c:v>3.547459284623157E-2</c:v>
                </c:pt>
                <c:pt idx="19">
                  <c:v>4.3983595980427351E-2</c:v>
                </c:pt>
                <c:pt idx="20">
                  <c:v>5.399096651318825E-2</c:v>
                </c:pt>
                <c:pt idx="21">
                  <c:v>6.5615814774676831E-2</c:v>
                </c:pt>
                <c:pt idx="22">
                  <c:v>7.8950158300894427E-2</c:v>
                </c:pt>
                <c:pt idx="23">
                  <c:v>9.4049077376887252E-2</c:v>
                </c:pt>
                <c:pt idx="24">
                  <c:v>0.11092083467945592</c:v>
                </c:pt>
                <c:pt idx="25">
                  <c:v>0.12951759566589216</c:v>
                </c:pt>
                <c:pt idx="26">
                  <c:v>0.14972746563574535</c:v>
                </c:pt>
                <c:pt idx="27">
                  <c:v>0.17136859204780791</c:v>
                </c:pt>
                <c:pt idx="28">
                  <c:v>0.19418605498321354</c:v>
                </c:pt>
                <c:pt idx="29">
                  <c:v>0.21785217703255116</c:v>
                </c:pt>
                <c:pt idx="30">
                  <c:v>0.24197072451914398</c:v>
                </c:pt>
                <c:pt idx="31">
                  <c:v>0.26608524989875543</c:v>
                </c:pt>
                <c:pt idx="32">
                  <c:v>0.28969155276148334</c:v>
                </c:pt>
                <c:pt idx="33">
                  <c:v>0.31225393336676183</c:v>
                </c:pt>
                <c:pt idx="34">
                  <c:v>0.33322460289180011</c:v>
                </c:pt>
                <c:pt idx="35">
                  <c:v>0.35206532676429991</c:v>
                </c:pt>
                <c:pt idx="36">
                  <c:v>0.36827014030332367</c:v>
                </c:pt>
                <c:pt idx="37">
                  <c:v>0.38138781546052442</c:v>
                </c:pt>
                <c:pt idx="38">
                  <c:v>0.3910426939754561</c:v>
                </c:pt>
                <c:pt idx="39">
                  <c:v>0.39695254747701186</c:v>
                </c:pt>
                <c:pt idx="40">
                  <c:v>0.3989422804014327</c:v>
                </c:pt>
                <c:pt idx="41">
                  <c:v>0.39695254747701181</c:v>
                </c:pt>
                <c:pt idx="42">
                  <c:v>0.39104269397545588</c:v>
                </c:pt>
                <c:pt idx="43">
                  <c:v>0.38138781546052408</c:v>
                </c:pt>
                <c:pt idx="44">
                  <c:v>0.36827014030332333</c:v>
                </c:pt>
                <c:pt idx="45">
                  <c:v>0.35206532676429952</c:v>
                </c:pt>
                <c:pt idx="46">
                  <c:v>0.33322460289179967</c:v>
                </c:pt>
                <c:pt idx="47">
                  <c:v>0.31225393336676127</c:v>
                </c:pt>
                <c:pt idx="48">
                  <c:v>0.28969155276148278</c:v>
                </c:pt>
                <c:pt idx="49">
                  <c:v>0.26608524989875487</c:v>
                </c:pt>
                <c:pt idx="50">
                  <c:v>0.24197072451914342</c:v>
                </c:pt>
                <c:pt idx="51">
                  <c:v>0.21785217703255058</c:v>
                </c:pt>
                <c:pt idx="52">
                  <c:v>0.19418605498321295</c:v>
                </c:pt>
                <c:pt idx="53">
                  <c:v>0.17136859204780736</c:v>
                </c:pt>
                <c:pt idx="54">
                  <c:v>0.14972746563574482</c:v>
                </c:pt>
                <c:pt idx="55">
                  <c:v>0.12951759566589166</c:v>
                </c:pt>
                <c:pt idx="56">
                  <c:v>0.11092083467945553</c:v>
                </c:pt>
                <c:pt idx="57">
                  <c:v>9.4049077376886864E-2</c:v>
                </c:pt>
                <c:pt idx="58">
                  <c:v>7.8950158300894094E-2</c:v>
                </c:pt>
                <c:pt idx="59">
                  <c:v>6.5615814774676526E-2</c:v>
                </c:pt>
                <c:pt idx="60">
                  <c:v>5.3990966513188007E-2</c:v>
                </c:pt>
                <c:pt idx="61">
                  <c:v>4.3983595980427156E-2</c:v>
                </c:pt>
                <c:pt idx="62">
                  <c:v>3.547459284623139E-2</c:v>
                </c:pt>
                <c:pt idx="63">
                  <c:v>2.832703774160112E-2</c:v>
                </c:pt>
                <c:pt idx="64">
                  <c:v>2.2394530294842851E-2</c:v>
                </c:pt>
                <c:pt idx="65">
                  <c:v>1.7528300493568502E-2</c:v>
                </c:pt>
                <c:pt idx="66">
                  <c:v>1.3582969233685583E-2</c:v>
                </c:pt>
                <c:pt idx="67">
                  <c:v>1.0420934814422567E-2</c:v>
                </c:pt>
                <c:pt idx="68">
                  <c:v>7.9154515829799391E-3</c:v>
                </c:pt>
                <c:pt idx="69">
                  <c:v>5.9525324197758321E-3</c:v>
                </c:pt>
                <c:pt idx="70">
                  <c:v>4.431848411937991E-3</c:v>
                </c:pt>
                <c:pt idx="71">
                  <c:v>3.2668190561999074E-3</c:v>
                </c:pt>
                <c:pt idx="72">
                  <c:v>2.3840882014648317E-3</c:v>
                </c:pt>
                <c:pt idx="73">
                  <c:v>1.7225689390536704E-3</c:v>
                </c:pt>
                <c:pt idx="74">
                  <c:v>1.2322191684730121E-3</c:v>
                </c:pt>
                <c:pt idx="75">
                  <c:v>8.7268269504575473E-4</c:v>
                </c:pt>
                <c:pt idx="76">
                  <c:v>6.119019301137681E-4</c:v>
                </c:pt>
                <c:pt idx="77">
                  <c:v>4.2478027055074878E-4</c:v>
                </c:pt>
                <c:pt idx="78">
                  <c:v>2.9194692579145794E-4</c:v>
                </c:pt>
                <c:pt idx="79">
                  <c:v>1.9865547139277093E-4</c:v>
                </c:pt>
                <c:pt idx="80">
                  <c:v>1.3383022576488442E-4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91560"/>
        <c:axId val="459784504"/>
      </c:lineChart>
      <c:catAx>
        <c:axId val="4597915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crossAx val="459784504"/>
        <c:crosses val="autoZero"/>
        <c:auto val="1"/>
        <c:lblAlgn val="ctr"/>
        <c:lblOffset val="100"/>
        <c:tickLblSkip val="10"/>
        <c:noMultiLvlLbl val="0"/>
      </c:catAx>
      <c:valAx>
        <c:axId val="459784504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4597915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Student's t Distribution
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 (df = 1)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Dist'!$C$20:$C$100</c:f>
              <c:numCache>
                <c:formatCode>General</c:formatCode>
                <c:ptCount val="81"/>
                <c:pt idx="0">
                  <c:v>1.8724110951987689E-2</c:v>
                </c:pt>
                <c:pt idx="1">
                  <c:v>1.9636637025526878E-2</c:v>
                </c:pt>
                <c:pt idx="2">
                  <c:v>2.0615925270970899E-2</c:v>
                </c:pt>
                <c:pt idx="3">
                  <c:v>2.1668474212647431E-2</c:v>
                </c:pt>
                <c:pt idx="4">
                  <c:v>2.2801567778208506E-2</c:v>
                </c:pt>
                <c:pt idx="5">
                  <c:v>2.4023387636512513E-2</c:v>
                </c:pt>
                <c:pt idx="6">
                  <c:v>2.5343143804441939E-2</c:v>
                </c:pt>
                <c:pt idx="7">
                  <c:v>2.6771226760621599E-2</c:v>
                </c:pt>
                <c:pt idx="8">
                  <c:v>2.8319384891796338E-2</c:v>
                </c:pt>
                <c:pt idx="9">
                  <c:v>3.0000931779810634E-2</c:v>
                </c:pt>
                <c:pt idx="10">
                  <c:v>3.1830988618379089E-2</c:v>
                </c:pt>
                <c:pt idx="11">
                  <c:v>3.3826767926013905E-2</c:v>
                </c:pt>
                <c:pt idx="12">
                  <c:v>3.6007905676899432E-2</c:v>
                </c:pt>
                <c:pt idx="13">
                  <c:v>3.8396849961856563E-2</c:v>
                </c:pt>
                <c:pt idx="14">
                  <c:v>4.1019315229869971E-2</c:v>
                </c:pt>
                <c:pt idx="15">
                  <c:v>4.3904811887419445E-2</c:v>
                </c:pt>
                <c:pt idx="16">
                  <c:v>4.7087261269791569E-2</c:v>
                </c:pt>
                <c:pt idx="17">
                  <c:v>5.0605705275642454E-2</c:v>
                </c:pt>
                <c:pt idx="18">
                  <c:v>5.4505117497224503E-2</c:v>
                </c:pt>
                <c:pt idx="19">
                  <c:v>5.8837317224360648E-2</c:v>
                </c:pt>
                <c:pt idx="20">
                  <c:v>6.3661977236758233E-2</c:v>
                </c:pt>
                <c:pt idx="21">
                  <c:v>6.9047697653750809E-2</c:v>
                </c:pt>
                <c:pt idx="22">
                  <c:v>7.5073086364101704E-2</c:v>
                </c:pt>
                <c:pt idx="23">
                  <c:v>8.1827734237478481E-2</c:v>
                </c:pt>
                <c:pt idx="24">
                  <c:v>8.9412889377469468E-2</c:v>
                </c:pt>
                <c:pt idx="25">
                  <c:v>9.7941503441166561E-2</c:v>
                </c:pt>
                <c:pt idx="26">
                  <c:v>0.10753712371074033</c:v>
                </c:pt>
                <c:pt idx="27">
                  <c:v>0.11833081270772916</c:v>
                </c:pt>
                <c:pt idx="28">
                  <c:v>0.13045487138679979</c:v>
                </c:pt>
                <c:pt idx="29">
                  <c:v>0.14403162270759795</c:v>
                </c:pt>
                <c:pt idx="30">
                  <c:v>0.15915494309189576</c:v>
                </c:pt>
                <c:pt idx="31">
                  <c:v>0.17586181557115552</c:v>
                </c:pt>
                <c:pt idx="32">
                  <c:v>0.19409139401450698</c:v>
                </c:pt>
                <c:pt idx="33">
                  <c:v>0.21363079609650434</c:v>
                </c:pt>
                <c:pt idx="34">
                  <c:v>0.23405138689984661</c:v>
                </c:pt>
                <c:pt idx="35">
                  <c:v>0.25464790894703304</c:v>
                </c:pt>
                <c:pt idx="36">
                  <c:v>0.27440507429637173</c:v>
                </c:pt>
                <c:pt idx="37">
                  <c:v>0.29202741851723957</c:v>
                </c:pt>
                <c:pt idx="38">
                  <c:v>0.30606719825364515</c:v>
                </c:pt>
                <c:pt idx="39">
                  <c:v>0.31515830315226817</c:v>
                </c:pt>
                <c:pt idx="40">
                  <c:v>0.31830988618379069</c:v>
                </c:pt>
                <c:pt idx="41">
                  <c:v>0.315158303152268</c:v>
                </c:pt>
                <c:pt idx="42">
                  <c:v>0.30606719825364487</c:v>
                </c:pt>
                <c:pt idx="43">
                  <c:v>0.29202741851723912</c:v>
                </c:pt>
                <c:pt idx="44">
                  <c:v>0.27440507429637123</c:v>
                </c:pt>
                <c:pt idx="45">
                  <c:v>0.25464790894703254</c:v>
                </c:pt>
                <c:pt idx="46">
                  <c:v>0.23405138689984611</c:v>
                </c:pt>
                <c:pt idx="47">
                  <c:v>0.21363079609650382</c:v>
                </c:pt>
                <c:pt idx="48">
                  <c:v>0.19409139401450654</c:v>
                </c:pt>
                <c:pt idx="49">
                  <c:v>0.1758618155711551</c:v>
                </c:pt>
                <c:pt idx="50">
                  <c:v>0.15915494309189537</c:v>
                </c:pt>
                <c:pt idx="51">
                  <c:v>0.14403162270759759</c:v>
                </c:pt>
                <c:pt idx="52">
                  <c:v>0.13045487138679945</c:v>
                </c:pt>
                <c:pt idx="53">
                  <c:v>0.11833081270772887</c:v>
                </c:pt>
                <c:pt idx="54">
                  <c:v>0.10753712371074009</c:v>
                </c:pt>
                <c:pt idx="55">
                  <c:v>9.7941503441166339E-2</c:v>
                </c:pt>
                <c:pt idx="56">
                  <c:v>8.9412889377469273E-2</c:v>
                </c:pt>
                <c:pt idx="57">
                  <c:v>8.18277342374783E-2</c:v>
                </c:pt>
                <c:pt idx="58">
                  <c:v>7.5073086364101538E-2</c:v>
                </c:pt>
                <c:pt idx="59">
                  <c:v>6.9047697653750656E-2</c:v>
                </c:pt>
                <c:pt idx="60">
                  <c:v>6.3661977236758122E-2</c:v>
                </c:pt>
                <c:pt idx="61">
                  <c:v>5.8837317224360551E-2</c:v>
                </c:pt>
                <c:pt idx="62">
                  <c:v>5.4505117497224413E-2</c:v>
                </c:pt>
                <c:pt idx="63">
                  <c:v>5.0605705275642371E-2</c:v>
                </c:pt>
                <c:pt idx="64">
                  <c:v>4.7087261269791493E-2</c:v>
                </c:pt>
                <c:pt idx="65">
                  <c:v>4.3904811887419376E-2</c:v>
                </c:pt>
                <c:pt idx="66">
                  <c:v>4.1019315229869908E-2</c:v>
                </c:pt>
                <c:pt idx="67">
                  <c:v>3.8396849961856508E-2</c:v>
                </c:pt>
                <c:pt idx="68">
                  <c:v>3.600790567689937E-2</c:v>
                </c:pt>
                <c:pt idx="69">
                  <c:v>3.3826767926013863E-2</c:v>
                </c:pt>
                <c:pt idx="70">
                  <c:v>3.1830988618379047E-2</c:v>
                </c:pt>
                <c:pt idx="71">
                  <c:v>3.0000931779810596E-2</c:v>
                </c:pt>
                <c:pt idx="72">
                  <c:v>2.8319384891796303E-2</c:v>
                </c:pt>
                <c:pt idx="73">
                  <c:v>2.6771226760621564E-2</c:v>
                </c:pt>
                <c:pt idx="74">
                  <c:v>2.5343143804441911E-2</c:v>
                </c:pt>
                <c:pt idx="75">
                  <c:v>2.4023387636512482E-2</c:v>
                </c:pt>
                <c:pt idx="76">
                  <c:v>2.2801567778208482E-2</c:v>
                </c:pt>
                <c:pt idx="77">
                  <c:v>2.1668474212647407E-2</c:v>
                </c:pt>
                <c:pt idx="78">
                  <c:v>2.0615925270970878E-2</c:v>
                </c:pt>
                <c:pt idx="79">
                  <c:v>1.963663702552686E-2</c:v>
                </c:pt>
                <c:pt idx="80">
                  <c:v>1.8724110951987671E-2</c:v>
                </c:pt>
              </c:numCache>
            </c:numRef>
          </c:val>
          <c:smooth val="0"/>
        </c:ser>
        <c:ser>
          <c:idx val="1"/>
          <c:order val="1"/>
          <c:tx>
            <c:v>t (df = 5)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Dist'!$D$20:$D$100</c:f>
              <c:numCache>
                <c:formatCode>General</c:formatCode>
                <c:ptCount val="81"/>
                <c:pt idx="0">
                  <c:v>5.1237270519179133E-3</c:v>
                </c:pt>
                <c:pt idx="1">
                  <c:v>5.7483728547693983E-3</c:v>
                </c:pt>
                <c:pt idx="2">
                  <c:v>6.4588483643698387E-3</c:v>
                </c:pt>
                <c:pt idx="3">
                  <c:v>7.2680175325693973E-3</c:v>
                </c:pt>
                <c:pt idx="4">
                  <c:v>8.1907726871290592E-3</c:v>
                </c:pt>
                <c:pt idx="5">
                  <c:v>9.2443540925209264E-3</c:v>
                </c:pt>
                <c:pt idx="6">
                  <c:v>1.0448714749395216E-2</c:v>
                </c:pt>
                <c:pt idx="7">
                  <c:v>1.1826934151171177E-2</c:v>
                </c:pt>
                <c:pt idx="8">
                  <c:v>1.3405683736328894E-2</c:v>
                </c:pt>
                <c:pt idx="9">
                  <c:v>1.5215745044952832E-2</c:v>
                </c:pt>
                <c:pt idx="10">
                  <c:v>1.7292578800222981E-2</c:v>
                </c:pt>
                <c:pt idx="11">
                  <c:v>1.9676938890598534E-2</c:v>
                </c:pt>
                <c:pt idx="12">
                  <c:v>2.2415519021677287E-2</c:v>
                </c:pt>
                <c:pt idx="13">
                  <c:v>2.5561611020544595E-2</c:v>
                </c:pt>
                <c:pt idx="14">
                  <c:v>2.9175741685939342E-2</c:v>
                </c:pt>
                <c:pt idx="15">
                  <c:v>3.3326238887022894E-2</c:v>
                </c:pt>
                <c:pt idx="16">
                  <c:v>3.8089656526432016E-2</c:v>
                </c:pt>
                <c:pt idx="17">
                  <c:v>4.3550961350440079E-2</c:v>
                </c:pt>
                <c:pt idx="18">
                  <c:v>4.9803352151145203E-2</c:v>
                </c:pt>
                <c:pt idx="19">
                  <c:v>5.6947544172170676E-2</c:v>
                </c:pt>
                <c:pt idx="20">
                  <c:v>6.5090310326216635E-2</c:v>
                </c:pt>
                <c:pt idx="21">
                  <c:v>7.4342030033196366E-2</c:v>
                </c:pt>
                <c:pt idx="22">
                  <c:v>8.481296289690396E-2</c:v>
                </c:pt>
                <c:pt idx="23">
                  <c:v>9.6607948713912054E-2</c:v>
                </c:pt>
                <c:pt idx="24">
                  <c:v>0.10981925265599124</c:v>
                </c:pt>
                <c:pt idx="25">
                  <c:v>0.12451734464635547</c:v>
                </c:pt>
                <c:pt idx="26">
                  <c:v>0.140739547894915</c:v>
                </c:pt>
                <c:pt idx="27">
                  <c:v>0.15847673572898288</c:v>
                </c:pt>
                <c:pt idx="28">
                  <c:v>0.17765861346493592</c:v>
                </c:pt>
                <c:pt idx="29">
                  <c:v>0.19813859080334678</c:v>
                </c:pt>
                <c:pt idx="30">
                  <c:v>0.21967979735098106</c:v>
                </c:pt>
                <c:pt idx="31">
                  <c:v>0.24194434361359041</c:v>
                </c:pt>
                <c:pt idx="32">
                  <c:v>0.26448835680795801</c:v>
                </c:pt>
                <c:pt idx="33">
                  <c:v>0.28676545757669847</c:v>
                </c:pt>
                <c:pt idx="34">
                  <c:v>0.3081410097234204</c:v>
                </c:pt>
                <c:pt idx="35">
                  <c:v>0.3279185313227469</c:v>
                </c:pt>
                <c:pt idx="36">
                  <c:v>0.34537807575273377</c:v>
                </c:pt>
                <c:pt idx="37">
                  <c:v>0.3598243283490099</c:v>
                </c:pt>
                <c:pt idx="38">
                  <c:v>0.37063997771396967</c:v>
                </c:pt>
                <c:pt idx="39">
                  <c:v>0.37733812996643123</c:v>
                </c:pt>
                <c:pt idx="40">
                  <c:v>0.3796066898224944</c:v>
                </c:pt>
                <c:pt idx="41">
                  <c:v>0.37733812996643123</c:v>
                </c:pt>
                <c:pt idx="42">
                  <c:v>0.37063997771396939</c:v>
                </c:pt>
                <c:pt idx="43">
                  <c:v>0.35982432834900968</c:v>
                </c:pt>
                <c:pt idx="44">
                  <c:v>0.34537807575273338</c:v>
                </c:pt>
                <c:pt idx="45">
                  <c:v>0.32791853132274645</c:v>
                </c:pt>
                <c:pt idx="46">
                  <c:v>0.30814100972341979</c:v>
                </c:pt>
                <c:pt idx="47">
                  <c:v>0.2867654575766978</c:v>
                </c:pt>
                <c:pt idx="48">
                  <c:v>0.26448835680795757</c:v>
                </c:pt>
                <c:pt idx="49">
                  <c:v>0.24194434361358985</c:v>
                </c:pt>
                <c:pt idx="50">
                  <c:v>0.21967979735098056</c:v>
                </c:pt>
                <c:pt idx="51">
                  <c:v>0.19813859080334623</c:v>
                </c:pt>
                <c:pt idx="52">
                  <c:v>0.17765861346493544</c:v>
                </c:pt>
                <c:pt idx="53">
                  <c:v>0.15847673572898241</c:v>
                </c:pt>
                <c:pt idx="54">
                  <c:v>0.14073954789491452</c:v>
                </c:pt>
                <c:pt idx="55">
                  <c:v>0.12451734464635508</c:v>
                </c:pt>
                <c:pt idx="56">
                  <c:v>0.10981925265599091</c:v>
                </c:pt>
                <c:pt idx="57">
                  <c:v>9.6607948713911748E-2</c:v>
                </c:pt>
                <c:pt idx="58">
                  <c:v>8.4812962896903682E-2</c:v>
                </c:pt>
                <c:pt idx="59">
                  <c:v>7.434203003319613E-2</c:v>
                </c:pt>
                <c:pt idx="60">
                  <c:v>6.5090310326216427E-2</c:v>
                </c:pt>
                <c:pt idx="61">
                  <c:v>5.6947544172170517E-2</c:v>
                </c:pt>
                <c:pt idx="62">
                  <c:v>4.9803352151145064E-2</c:v>
                </c:pt>
                <c:pt idx="63">
                  <c:v>4.355096135043994E-2</c:v>
                </c:pt>
                <c:pt idx="64">
                  <c:v>3.8089656526431905E-2</c:v>
                </c:pt>
                <c:pt idx="65">
                  <c:v>3.332623888702279E-2</c:v>
                </c:pt>
                <c:pt idx="66">
                  <c:v>2.9175741685939248E-2</c:v>
                </c:pt>
                <c:pt idx="67">
                  <c:v>2.5561611020544526E-2</c:v>
                </c:pt>
                <c:pt idx="68">
                  <c:v>2.2415519021677217E-2</c:v>
                </c:pt>
                <c:pt idx="69">
                  <c:v>1.9676938890598485E-2</c:v>
                </c:pt>
                <c:pt idx="70">
                  <c:v>1.7292578800222929E-2</c:v>
                </c:pt>
                <c:pt idx="71">
                  <c:v>1.5215745044952798E-2</c:v>
                </c:pt>
                <c:pt idx="72">
                  <c:v>1.3405683736328861E-2</c:v>
                </c:pt>
                <c:pt idx="73">
                  <c:v>1.1826934151171141E-2</c:v>
                </c:pt>
                <c:pt idx="74">
                  <c:v>1.0448714749395191E-2</c:v>
                </c:pt>
                <c:pt idx="75">
                  <c:v>9.2443540925209022E-3</c:v>
                </c:pt>
                <c:pt idx="76">
                  <c:v>8.1907726871290384E-3</c:v>
                </c:pt>
                <c:pt idx="77">
                  <c:v>7.2680175325693791E-3</c:v>
                </c:pt>
                <c:pt idx="78">
                  <c:v>6.458848364369823E-3</c:v>
                </c:pt>
                <c:pt idx="79">
                  <c:v>5.7483728547693836E-3</c:v>
                </c:pt>
                <c:pt idx="80">
                  <c:v>5.1237270519179038E-3</c:v>
                </c:pt>
              </c:numCache>
            </c:numRef>
          </c:val>
          <c:smooth val="0"/>
        </c:ser>
        <c:ser>
          <c:idx val="2"/>
          <c:order val="2"/>
          <c:tx>
            <c:v>t (df = 10)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Dist'!$E$20:$E$100</c:f>
              <c:numCache>
                <c:formatCode>General</c:formatCode>
                <c:ptCount val="81"/>
                <c:pt idx="0">
                  <c:v>2.0310339110412149E-3</c:v>
                </c:pt>
                <c:pt idx="1">
                  <c:v>2.4066888019954893E-3</c:v>
                </c:pt>
                <c:pt idx="2">
                  <c:v>2.8543943946096055E-3</c:v>
                </c:pt>
                <c:pt idx="3">
                  <c:v>3.3881509779624024E-3</c:v>
                </c:pt>
                <c:pt idx="4">
                  <c:v>4.0246232150294705E-3</c:v>
                </c:pt>
                <c:pt idx="5">
                  <c:v>4.783607126701327E-3</c:v>
                </c:pt>
                <c:pt idx="6">
                  <c:v>5.6885611066299314E-3</c:v>
                </c:pt>
                <c:pt idx="7">
                  <c:v>6.7672024406869426E-3</c:v>
                </c:pt>
                <c:pt idx="8">
                  <c:v>8.0521673723421717E-3</c:v>
                </c:pt>
                <c:pt idx="9">
                  <c:v>9.5817276708977366E-3</c:v>
                </c:pt>
                <c:pt idx="10">
                  <c:v>1.1400549464542539E-2</c:v>
                </c:pt>
                <c:pt idx="11">
                  <c:v>1.3560470295244938E-2</c:v>
                </c:pt>
                <c:pt idx="12">
                  <c:v>1.6121257439422165E-2</c:v>
                </c:pt>
                <c:pt idx="13">
                  <c:v>1.9151294092491021E-2</c:v>
                </c:pt>
                <c:pt idx="14">
                  <c:v>2.2728119798465004E-2</c:v>
                </c:pt>
                <c:pt idx="15">
                  <c:v>2.6938727628244515E-2</c:v>
                </c:pt>
                <c:pt idx="16">
                  <c:v>3.1879493750030623E-2</c:v>
                </c:pt>
                <c:pt idx="17">
                  <c:v>3.7655586709753462E-2</c:v>
                </c:pt>
                <c:pt idx="18">
                  <c:v>4.4379676614245793E-2</c:v>
                </c:pt>
                <c:pt idx="19">
                  <c:v>5.216974260435512E-2</c:v>
                </c:pt>
                <c:pt idx="20">
                  <c:v>6.1145766321218327E-2</c:v>
                </c:pt>
                <c:pt idx="21">
                  <c:v>7.1425107032802609E-2</c:v>
                </c:pt>
                <c:pt idx="22">
                  <c:v>8.3116389653879769E-2</c:v>
                </c:pt>
                <c:pt idx="23">
                  <c:v>9.6311809633229564E-2</c:v>
                </c:pt>
                <c:pt idx="24">
                  <c:v>0.11107787729698358</c:v>
                </c:pt>
                <c:pt idx="25">
                  <c:v>0.12744479428709199</c:v>
                </c:pt>
                <c:pt idx="26">
                  <c:v>0.14539487566000653</c:v>
                </c:pt>
                <c:pt idx="27">
                  <c:v>0.16485069296801974</c:v>
                </c:pt>
                <c:pt idx="28">
                  <c:v>0.18566389362670357</c:v>
                </c:pt>
                <c:pt idx="29">
                  <c:v>0.20760591316421437</c:v>
                </c:pt>
                <c:pt idx="30">
                  <c:v>0.2303619892291392</c:v>
                </c:pt>
                <c:pt idx="31">
                  <c:v>0.25352995055982802</c:v>
                </c:pt>
                <c:pt idx="32">
                  <c:v>0.27662513233825686</c:v>
                </c:pt>
                <c:pt idx="33">
                  <c:v>0.29909241773685297</c:v>
                </c:pt>
                <c:pt idx="34">
                  <c:v>0.32032581052912468</c:v>
                </c:pt>
                <c:pt idx="35">
                  <c:v>0.33969513635207821</c:v>
                </c:pt>
                <c:pt idx="36">
                  <c:v>0.35657853369790415</c:v>
                </c:pt>
                <c:pt idx="37">
                  <c:v>0.37039846155274542</c:v>
                </c:pt>
                <c:pt idx="38">
                  <c:v>0.38065818105444899</c:v>
                </c:pt>
                <c:pt idx="39">
                  <c:v>0.38697522581518046</c:v>
                </c:pt>
                <c:pt idx="40">
                  <c:v>0.38910838396603087</c:v>
                </c:pt>
                <c:pt idx="41">
                  <c:v>0.38697522581518046</c:v>
                </c:pt>
                <c:pt idx="42">
                  <c:v>0.38065818105444899</c:v>
                </c:pt>
                <c:pt idx="43">
                  <c:v>0.37039846155274542</c:v>
                </c:pt>
                <c:pt idx="44">
                  <c:v>0.35657853369790371</c:v>
                </c:pt>
                <c:pt idx="45">
                  <c:v>0.33969513635207782</c:v>
                </c:pt>
                <c:pt idx="46">
                  <c:v>0.32032581052912429</c:v>
                </c:pt>
                <c:pt idx="47">
                  <c:v>0.29909241773685263</c:v>
                </c:pt>
                <c:pt idx="48">
                  <c:v>0.2766251323382562</c:v>
                </c:pt>
                <c:pt idx="49">
                  <c:v>0.25352995055982741</c:v>
                </c:pt>
                <c:pt idx="50">
                  <c:v>0.23036198922913848</c:v>
                </c:pt>
                <c:pt idx="51">
                  <c:v>0.20760591316421392</c:v>
                </c:pt>
                <c:pt idx="52">
                  <c:v>0.18566389362670316</c:v>
                </c:pt>
                <c:pt idx="53">
                  <c:v>0.16485069296801924</c:v>
                </c:pt>
                <c:pt idx="54">
                  <c:v>0.14539487566000608</c:v>
                </c:pt>
                <c:pt idx="55">
                  <c:v>0.12744479428709157</c:v>
                </c:pt>
                <c:pt idx="56">
                  <c:v>0.11107787729698315</c:v>
                </c:pt>
                <c:pt idx="57">
                  <c:v>9.6311809633229176E-2</c:v>
                </c:pt>
                <c:pt idx="58">
                  <c:v>8.3116389653879449E-2</c:v>
                </c:pt>
                <c:pt idx="59">
                  <c:v>7.1425107032802387E-2</c:v>
                </c:pt>
                <c:pt idx="60">
                  <c:v>6.1145766321218126E-2</c:v>
                </c:pt>
                <c:pt idx="61">
                  <c:v>5.2169742604354911E-2</c:v>
                </c:pt>
                <c:pt idx="62">
                  <c:v>4.4379676614245626E-2</c:v>
                </c:pt>
                <c:pt idx="63">
                  <c:v>3.7655586709753316E-2</c:v>
                </c:pt>
                <c:pt idx="64">
                  <c:v>3.1879493750030491E-2</c:v>
                </c:pt>
                <c:pt idx="65">
                  <c:v>2.6938727628244407E-2</c:v>
                </c:pt>
                <c:pt idx="66">
                  <c:v>2.2728119798464907E-2</c:v>
                </c:pt>
                <c:pt idx="67">
                  <c:v>1.9151294092490952E-2</c:v>
                </c:pt>
                <c:pt idx="68">
                  <c:v>1.6121257439422099E-2</c:v>
                </c:pt>
                <c:pt idx="69">
                  <c:v>1.3560470295244894E-2</c:v>
                </c:pt>
                <c:pt idx="70">
                  <c:v>1.1400549464542491E-2</c:v>
                </c:pt>
                <c:pt idx="71">
                  <c:v>9.5817276708977071E-3</c:v>
                </c:pt>
                <c:pt idx="72">
                  <c:v>8.0521673723421387E-3</c:v>
                </c:pt>
                <c:pt idx="73">
                  <c:v>6.7672024406869131E-3</c:v>
                </c:pt>
                <c:pt idx="74">
                  <c:v>5.6885611066299115E-3</c:v>
                </c:pt>
                <c:pt idx="75">
                  <c:v>4.7836071267013062E-3</c:v>
                </c:pt>
                <c:pt idx="76">
                  <c:v>4.0246232150294593E-3</c:v>
                </c:pt>
                <c:pt idx="77">
                  <c:v>3.3881509779623872E-3</c:v>
                </c:pt>
                <c:pt idx="78">
                  <c:v>2.8543943946095934E-3</c:v>
                </c:pt>
                <c:pt idx="79">
                  <c:v>2.4066888019954806E-3</c:v>
                </c:pt>
                <c:pt idx="80">
                  <c:v>2.0310339110412097E-3</c:v>
                </c:pt>
              </c:numCache>
            </c:numRef>
          </c:val>
          <c:smooth val="0"/>
        </c:ser>
        <c:ser>
          <c:idx val="3"/>
          <c:order val="3"/>
          <c:tx>
            <c:v>t (df = 30)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Dist'!$F$20:$F$100</c:f>
              <c:numCache>
                <c:formatCode>General</c:formatCode>
                <c:ptCount val="81"/>
                <c:pt idx="0">
                  <c:v>5.2471644019740755E-4</c:v>
                </c:pt>
                <c:pt idx="1">
                  <c:v>6.8633509016922641E-4</c:v>
                </c:pt>
                <c:pt idx="2">
                  <c:v>8.9572208725848576E-4</c:v>
                </c:pt>
                <c:pt idx="3">
                  <c:v>1.1661364480637605E-3</c:v>
                </c:pt>
                <c:pt idx="4">
                  <c:v>1.5141706922918094E-3</c:v>
                </c:pt>
                <c:pt idx="5">
                  <c:v>1.9604555808020933E-3</c:v>
                </c:pt>
                <c:pt idx="6">
                  <c:v>2.5304642724106618E-3</c:v>
                </c:pt>
                <c:pt idx="7">
                  <c:v>3.2554111678475797E-3</c:v>
                </c:pt>
                <c:pt idx="8">
                  <c:v>4.1732316830005254E-3</c:v>
                </c:pt>
                <c:pt idx="9">
                  <c:v>5.3296170578658137E-3</c:v>
                </c:pt>
                <c:pt idx="10">
                  <c:v>6.7790627460931081E-3</c:v>
                </c:pt>
                <c:pt idx="11">
                  <c:v>8.5858698631407163E-3</c:v>
                </c:pt>
                <c:pt idx="12">
                  <c:v>1.0825016893845324E-2</c:v>
                </c:pt>
                <c:pt idx="13">
                  <c:v>1.3582794199685933E-2</c:v>
                </c:pt>
                <c:pt idx="14">
                  <c:v>1.6957068343387567E-2</c:v>
                </c:pt>
                <c:pt idx="15">
                  <c:v>2.105701922062168E-2</c:v>
                </c:pt>
                <c:pt idx="16">
                  <c:v>2.6002173732796927E-2</c:v>
                </c:pt>
                <c:pt idx="17">
                  <c:v>3.1920549432000254E-2</c:v>
                </c:pt>
                <c:pt idx="18">
                  <c:v>3.8945725132978802E-2</c:v>
                </c:pt>
                <c:pt idx="19">
                  <c:v>4.7212678193653324E-2</c:v>
                </c:pt>
                <c:pt idx="20">
                  <c:v>5.6852275047198066E-2</c:v>
                </c:pt>
                <c:pt idx="21">
                  <c:v>6.7984376569213356E-2</c:v>
                </c:pt>
                <c:pt idx="22">
                  <c:v>8.0709624798490739E-2</c:v>
                </c:pt>
                <c:pt idx="23">
                  <c:v>9.5100110953271741E-2</c:v>
                </c:pt>
                <c:pt idx="24">
                  <c:v>0.11118928083310917</c:v>
                </c:pt>
                <c:pt idx="25">
                  <c:v>0.12896160173967205</c:v>
                </c:pt>
                <c:pt idx="26">
                  <c:v>0.14834267891674183</c:v>
                </c:pt>
                <c:pt idx="27">
                  <c:v>0.16919064854071325</c:v>
                </c:pt>
                <c:pt idx="28">
                  <c:v>0.1912897649059872</c:v>
                </c:pt>
                <c:pt idx="29">
                  <c:v>0.21434711785664093</c:v>
                </c:pt>
                <c:pt idx="30">
                  <c:v>0.23799334232287989</c:v>
                </c:pt>
                <c:pt idx="31">
                  <c:v>0.26178800210082603</c:v>
                </c:pt>
                <c:pt idx="32">
                  <c:v>0.28523004321112261</c:v>
                </c:pt>
                <c:pt idx="33">
                  <c:v>0.30777333104241572</c:v>
                </c:pt>
                <c:pt idx="34">
                  <c:v>0.32884683826851979</c:v>
                </c:pt>
                <c:pt idx="35">
                  <c:v>0.34787857969720415</c:v>
                </c:pt>
                <c:pt idx="36">
                  <c:v>0.36432194852885696</c:v>
                </c:pt>
                <c:pt idx="37">
                  <c:v>0.37768275260924272</c:v>
                </c:pt>
                <c:pt idx="38">
                  <c:v>0.3875450315448134</c:v>
                </c:pt>
                <c:pt idx="39">
                  <c:v>0.39359369563267887</c:v>
                </c:pt>
                <c:pt idx="40">
                  <c:v>0.39563218489409713</c:v>
                </c:pt>
                <c:pt idx="41">
                  <c:v>0.39359369563267887</c:v>
                </c:pt>
                <c:pt idx="42">
                  <c:v>0.3875450315448134</c:v>
                </c:pt>
                <c:pt idx="43">
                  <c:v>0.37768275260924272</c:v>
                </c:pt>
                <c:pt idx="44">
                  <c:v>0.3643219485288558</c:v>
                </c:pt>
                <c:pt idx="45">
                  <c:v>0.34787857969720415</c:v>
                </c:pt>
                <c:pt idx="46">
                  <c:v>0.32884683826851979</c:v>
                </c:pt>
                <c:pt idx="47">
                  <c:v>0.30777333104241572</c:v>
                </c:pt>
                <c:pt idx="48">
                  <c:v>0.28523004321112166</c:v>
                </c:pt>
                <c:pt idx="49">
                  <c:v>0.26178800210082603</c:v>
                </c:pt>
                <c:pt idx="50">
                  <c:v>0.23799334232287989</c:v>
                </c:pt>
                <c:pt idx="51">
                  <c:v>0.21434711785664021</c:v>
                </c:pt>
                <c:pt idx="52">
                  <c:v>0.19128976490598656</c:v>
                </c:pt>
                <c:pt idx="53">
                  <c:v>0.16919064854071267</c:v>
                </c:pt>
                <c:pt idx="54">
                  <c:v>0.14834267891674133</c:v>
                </c:pt>
                <c:pt idx="55">
                  <c:v>0.12896160173967164</c:v>
                </c:pt>
                <c:pt idx="56">
                  <c:v>0.11118928083310881</c:v>
                </c:pt>
                <c:pt idx="57">
                  <c:v>9.5100110953271422E-2</c:v>
                </c:pt>
                <c:pt idx="58">
                  <c:v>8.070962479849049E-2</c:v>
                </c:pt>
                <c:pt idx="59">
                  <c:v>6.7984376569213134E-2</c:v>
                </c:pt>
                <c:pt idx="60">
                  <c:v>5.6852275047197899E-2</c:v>
                </c:pt>
                <c:pt idx="61">
                  <c:v>4.7212678193653178E-2</c:v>
                </c:pt>
                <c:pt idx="62">
                  <c:v>3.8945725132978684E-2</c:v>
                </c:pt>
                <c:pt idx="63">
                  <c:v>3.1920549432000067E-2</c:v>
                </c:pt>
                <c:pt idx="64">
                  <c:v>2.6002173732796788E-2</c:v>
                </c:pt>
                <c:pt idx="65">
                  <c:v>2.1057019220621555E-2</c:v>
                </c:pt>
                <c:pt idx="66">
                  <c:v>1.6957068343387522E-2</c:v>
                </c:pt>
                <c:pt idx="67">
                  <c:v>1.3582794199685897E-2</c:v>
                </c:pt>
                <c:pt idx="68">
                  <c:v>1.0825016893845291E-2</c:v>
                </c:pt>
                <c:pt idx="69">
                  <c:v>8.5858698631406695E-3</c:v>
                </c:pt>
                <c:pt idx="70">
                  <c:v>6.7790627460930656E-3</c:v>
                </c:pt>
                <c:pt idx="71">
                  <c:v>5.3296170578657799E-3</c:v>
                </c:pt>
                <c:pt idx="72">
                  <c:v>4.1732316830004924E-3</c:v>
                </c:pt>
                <c:pt idx="73">
                  <c:v>3.2554111678475542E-3</c:v>
                </c:pt>
                <c:pt idx="74">
                  <c:v>2.530464272410651E-3</c:v>
                </c:pt>
                <c:pt idx="75">
                  <c:v>1.9604555808020829E-3</c:v>
                </c:pt>
                <c:pt idx="76">
                  <c:v>1.5141706922918016E-3</c:v>
                </c:pt>
                <c:pt idx="77">
                  <c:v>1.1661364480637553E-3</c:v>
                </c:pt>
                <c:pt idx="78">
                  <c:v>8.9572208725848174E-4</c:v>
                </c:pt>
                <c:pt idx="79">
                  <c:v>6.8633509016922348E-4</c:v>
                </c:pt>
                <c:pt idx="80">
                  <c:v>5.2471644019740516E-4</c:v>
                </c:pt>
              </c:numCache>
            </c:numRef>
          </c:val>
          <c:smooth val="0"/>
        </c:ser>
        <c:ser>
          <c:idx val="4"/>
          <c:order val="4"/>
          <c:tx>
            <c:v>std norm</c:v>
          </c:tx>
          <c:marker>
            <c:symbol val="none"/>
          </c:marker>
          <c:cat>
            <c:numRef>
              <c:f>'T Dist'!$B$20:$B$100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0</c:v>
                </c:pt>
                <c:pt idx="41">
                  <c:v>0.1</c:v>
                </c:pt>
                <c:pt idx="42">
                  <c:v>0.2</c:v>
                </c:pt>
                <c:pt idx="43">
                  <c:v>0.30000000000000004</c:v>
                </c:pt>
                <c:pt idx="44">
                  <c:v>0.4</c:v>
                </c:pt>
                <c:pt idx="45">
                  <c:v>0.5</c:v>
                </c:pt>
                <c:pt idx="46">
                  <c:v>0.6</c:v>
                </c:pt>
                <c:pt idx="47">
                  <c:v>0.7</c:v>
                </c:pt>
                <c:pt idx="48">
                  <c:v>0.79999999999999993</c:v>
                </c:pt>
                <c:pt idx="49">
                  <c:v>0.89999999999999991</c:v>
                </c:pt>
                <c:pt idx="50">
                  <c:v>0.99999999999999989</c:v>
                </c:pt>
                <c:pt idx="51">
                  <c:v>1.0999999999999999</c:v>
                </c:pt>
                <c:pt idx="52">
                  <c:v>1.2</c:v>
                </c:pt>
                <c:pt idx="53">
                  <c:v>1.3</c:v>
                </c:pt>
                <c:pt idx="54">
                  <c:v>1.4000000000000001</c:v>
                </c:pt>
                <c:pt idx="55">
                  <c:v>1.5000000000000002</c:v>
                </c:pt>
                <c:pt idx="56">
                  <c:v>1.6000000000000003</c:v>
                </c:pt>
                <c:pt idx="57">
                  <c:v>1.7000000000000004</c:v>
                </c:pt>
                <c:pt idx="58">
                  <c:v>1.8000000000000005</c:v>
                </c:pt>
                <c:pt idx="59">
                  <c:v>1.9000000000000006</c:v>
                </c:pt>
                <c:pt idx="60">
                  <c:v>2.0000000000000004</c:v>
                </c:pt>
                <c:pt idx="61">
                  <c:v>2.1000000000000005</c:v>
                </c:pt>
                <c:pt idx="62">
                  <c:v>2.2000000000000006</c:v>
                </c:pt>
                <c:pt idx="63">
                  <c:v>2.3000000000000007</c:v>
                </c:pt>
                <c:pt idx="64">
                  <c:v>2.4000000000000008</c:v>
                </c:pt>
                <c:pt idx="65">
                  <c:v>2.5000000000000009</c:v>
                </c:pt>
                <c:pt idx="66">
                  <c:v>2.600000000000001</c:v>
                </c:pt>
                <c:pt idx="67">
                  <c:v>2.7000000000000011</c:v>
                </c:pt>
                <c:pt idx="68">
                  <c:v>2.8000000000000012</c:v>
                </c:pt>
                <c:pt idx="69">
                  <c:v>2.9000000000000012</c:v>
                </c:pt>
                <c:pt idx="70">
                  <c:v>3.0000000000000013</c:v>
                </c:pt>
                <c:pt idx="71">
                  <c:v>3.1000000000000014</c:v>
                </c:pt>
                <c:pt idx="72">
                  <c:v>3.2000000000000015</c:v>
                </c:pt>
                <c:pt idx="73">
                  <c:v>3.3000000000000016</c:v>
                </c:pt>
                <c:pt idx="74">
                  <c:v>3.4000000000000017</c:v>
                </c:pt>
                <c:pt idx="75">
                  <c:v>3.5000000000000018</c:v>
                </c:pt>
                <c:pt idx="76">
                  <c:v>3.6000000000000019</c:v>
                </c:pt>
                <c:pt idx="77">
                  <c:v>3.700000000000002</c:v>
                </c:pt>
                <c:pt idx="78">
                  <c:v>3.800000000000002</c:v>
                </c:pt>
                <c:pt idx="79">
                  <c:v>3.9000000000000021</c:v>
                </c:pt>
                <c:pt idx="80">
                  <c:v>4.0000000000000018</c:v>
                </c:pt>
              </c:numCache>
            </c:numRef>
          </c:cat>
          <c:val>
            <c:numRef>
              <c:f>'T Dist'!$G$20:$G$100</c:f>
              <c:numCache>
                <c:formatCode>General</c:formatCode>
                <c:ptCount val="81"/>
                <c:pt idx="0">
                  <c:v>1.3383022576488537E-4</c:v>
                </c:pt>
                <c:pt idx="1">
                  <c:v>1.9865547139277272E-4</c:v>
                </c:pt>
                <c:pt idx="2">
                  <c:v>2.9194692579146027E-4</c:v>
                </c:pt>
                <c:pt idx="3">
                  <c:v>4.2478027055075219E-4</c:v>
                </c:pt>
                <c:pt idx="4">
                  <c:v>6.1190193011377298E-4</c:v>
                </c:pt>
                <c:pt idx="5">
                  <c:v>8.7268269504576167E-4</c:v>
                </c:pt>
                <c:pt idx="6">
                  <c:v>1.232219168473021E-3</c:v>
                </c:pt>
                <c:pt idx="7">
                  <c:v>1.7225689390536843E-3</c:v>
                </c:pt>
                <c:pt idx="8">
                  <c:v>2.3840882014648486E-3</c:v>
                </c:pt>
                <c:pt idx="9">
                  <c:v>3.2668190561999273E-3</c:v>
                </c:pt>
                <c:pt idx="10">
                  <c:v>4.4318484119380188E-3</c:v>
                </c:pt>
                <c:pt idx="11">
                  <c:v>5.9525324197758694E-3</c:v>
                </c:pt>
                <c:pt idx="12">
                  <c:v>7.9154515829799894E-3</c:v>
                </c:pt>
                <c:pt idx="13">
                  <c:v>1.0420934814422628E-2</c:v>
                </c:pt>
                <c:pt idx="14">
                  <c:v>1.3582969233685661E-2</c:v>
                </c:pt>
                <c:pt idx="15">
                  <c:v>1.7528300493568599E-2</c:v>
                </c:pt>
                <c:pt idx="16">
                  <c:v>2.2394530294842969E-2</c:v>
                </c:pt>
                <c:pt idx="17">
                  <c:v>2.8327037741601276E-2</c:v>
                </c:pt>
                <c:pt idx="18">
                  <c:v>3.547459284623157E-2</c:v>
                </c:pt>
                <c:pt idx="19">
                  <c:v>4.3983595980427351E-2</c:v>
                </c:pt>
                <c:pt idx="20">
                  <c:v>5.399096651318825E-2</c:v>
                </c:pt>
                <c:pt idx="21">
                  <c:v>6.5615814774676831E-2</c:v>
                </c:pt>
                <c:pt idx="22">
                  <c:v>7.8950158300894427E-2</c:v>
                </c:pt>
                <c:pt idx="23">
                  <c:v>9.4049077376887252E-2</c:v>
                </c:pt>
                <c:pt idx="24">
                  <c:v>0.11092083467945592</c:v>
                </c:pt>
                <c:pt idx="25">
                  <c:v>0.12951759566589216</c:v>
                </c:pt>
                <c:pt idx="26">
                  <c:v>0.14972746563574535</c:v>
                </c:pt>
                <c:pt idx="27">
                  <c:v>0.17136859204780791</c:v>
                </c:pt>
                <c:pt idx="28">
                  <c:v>0.19418605498321354</c:v>
                </c:pt>
                <c:pt idx="29">
                  <c:v>0.21785217703255116</c:v>
                </c:pt>
                <c:pt idx="30">
                  <c:v>0.24197072451914398</c:v>
                </c:pt>
                <c:pt idx="31">
                  <c:v>0.26608524989875543</c:v>
                </c:pt>
                <c:pt idx="32">
                  <c:v>0.28969155276148334</c:v>
                </c:pt>
                <c:pt idx="33">
                  <c:v>0.31225393336676183</c:v>
                </c:pt>
                <c:pt idx="34">
                  <c:v>0.33322460289180011</c:v>
                </c:pt>
                <c:pt idx="35">
                  <c:v>0.35206532676429991</c:v>
                </c:pt>
                <c:pt idx="36">
                  <c:v>0.36827014030332367</c:v>
                </c:pt>
                <c:pt idx="37">
                  <c:v>0.38138781546052442</c:v>
                </c:pt>
                <c:pt idx="38">
                  <c:v>0.3910426939754561</c:v>
                </c:pt>
                <c:pt idx="39">
                  <c:v>0.39695254747701186</c:v>
                </c:pt>
                <c:pt idx="40">
                  <c:v>0.3989422804014327</c:v>
                </c:pt>
                <c:pt idx="41">
                  <c:v>0.39695254747701181</c:v>
                </c:pt>
                <c:pt idx="42">
                  <c:v>0.39104269397545588</c:v>
                </c:pt>
                <c:pt idx="43">
                  <c:v>0.38138781546052408</c:v>
                </c:pt>
                <c:pt idx="44">
                  <c:v>0.36827014030332333</c:v>
                </c:pt>
                <c:pt idx="45">
                  <c:v>0.35206532676429952</c:v>
                </c:pt>
                <c:pt idx="46">
                  <c:v>0.33322460289179967</c:v>
                </c:pt>
                <c:pt idx="47">
                  <c:v>0.31225393336676127</c:v>
                </c:pt>
                <c:pt idx="48">
                  <c:v>0.28969155276148278</c:v>
                </c:pt>
                <c:pt idx="49">
                  <c:v>0.26608524989875487</c:v>
                </c:pt>
                <c:pt idx="50">
                  <c:v>0.24197072451914342</c:v>
                </c:pt>
                <c:pt idx="51">
                  <c:v>0.21785217703255058</c:v>
                </c:pt>
                <c:pt idx="52">
                  <c:v>0.19418605498321295</c:v>
                </c:pt>
                <c:pt idx="53">
                  <c:v>0.17136859204780736</c:v>
                </c:pt>
                <c:pt idx="54">
                  <c:v>0.14972746563574482</c:v>
                </c:pt>
                <c:pt idx="55">
                  <c:v>0.12951759566589166</c:v>
                </c:pt>
                <c:pt idx="56">
                  <c:v>0.11092083467945553</c:v>
                </c:pt>
                <c:pt idx="57">
                  <c:v>9.4049077376886864E-2</c:v>
                </c:pt>
                <c:pt idx="58">
                  <c:v>7.8950158300894094E-2</c:v>
                </c:pt>
                <c:pt idx="59">
                  <c:v>6.5615814774676526E-2</c:v>
                </c:pt>
                <c:pt idx="60">
                  <c:v>5.3990966513188007E-2</c:v>
                </c:pt>
                <c:pt idx="61">
                  <c:v>4.3983595980427156E-2</c:v>
                </c:pt>
                <c:pt idx="62">
                  <c:v>3.547459284623139E-2</c:v>
                </c:pt>
                <c:pt idx="63">
                  <c:v>2.832703774160112E-2</c:v>
                </c:pt>
                <c:pt idx="64">
                  <c:v>2.2394530294842851E-2</c:v>
                </c:pt>
                <c:pt idx="65">
                  <c:v>1.7528300493568502E-2</c:v>
                </c:pt>
                <c:pt idx="66">
                  <c:v>1.3582969233685583E-2</c:v>
                </c:pt>
                <c:pt idx="67">
                  <c:v>1.0420934814422567E-2</c:v>
                </c:pt>
                <c:pt idx="68">
                  <c:v>7.9154515829799391E-3</c:v>
                </c:pt>
                <c:pt idx="69">
                  <c:v>5.9525324197758321E-3</c:v>
                </c:pt>
                <c:pt idx="70">
                  <c:v>4.431848411937991E-3</c:v>
                </c:pt>
                <c:pt idx="71">
                  <c:v>3.2668190561999074E-3</c:v>
                </c:pt>
                <c:pt idx="72">
                  <c:v>2.3840882014648317E-3</c:v>
                </c:pt>
                <c:pt idx="73">
                  <c:v>1.7225689390536704E-3</c:v>
                </c:pt>
                <c:pt idx="74">
                  <c:v>1.2322191684730121E-3</c:v>
                </c:pt>
                <c:pt idx="75">
                  <c:v>8.7268269504575473E-4</c:v>
                </c:pt>
                <c:pt idx="76">
                  <c:v>6.119019301137681E-4</c:v>
                </c:pt>
                <c:pt idx="77">
                  <c:v>4.2478027055074878E-4</c:v>
                </c:pt>
                <c:pt idx="78">
                  <c:v>2.9194692579145794E-4</c:v>
                </c:pt>
                <c:pt idx="79">
                  <c:v>1.9865547139277093E-4</c:v>
                </c:pt>
                <c:pt idx="80">
                  <c:v>1.3383022576488442E-4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90384"/>
        <c:axId val="459795480"/>
      </c:lineChart>
      <c:catAx>
        <c:axId val="45979038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crossAx val="459795480"/>
        <c:crosses val="autoZero"/>
        <c:auto val="1"/>
        <c:lblAlgn val="ctr"/>
        <c:lblOffset val="100"/>
        <c:tickLblSkip val="10"/>
        <c:noMultiLvlLbl val="0"/>
      </c:catAx>
      <c:valAx>
        <c:axId val="459795480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459790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 Sample T 1'!$R$4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'1 Sample T 1'!$S$3</c:f>
              <c:strCache>
                <c:ptCount val="1"/>
                <c:pt idx="0">
                  <c:v>Weight Loss</c:v>
                </c:pt>
              </c:strCache>
            </c:strRef>
          </c:cat>
          <c:val>
            <c:numRef>
              <c:f>'1 Sample T 1'!$S$4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'1 Sample T 1'!$R$5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'1 Sample T 1'!$S$3</c:f>
              <c:strCache>
                <c:ptCount val="1"/>
                <c:pt idx="0">
                  <c:v>Weight Loss</c:v>
                </c:pt>
              </c:strCache>
            </c:strRef>
          </c:cat>
          <c:val>
            <c:numRef>
              <c:f>'1 Sample T 1'!$S$5</c:f>
              <c:numCache>
                <c:formatCode>0</c:formatCode>
                <c:ptCount val="1"/>
                <c:pt idx="0">
                  <c:v>5</c:v>
                </c:pt>
              </c:numCache>
            </c:numRef>
          </c:val>
        </c:ser>
        <c:ser>
          <c:idx val="2"/>
          <c:order val="2"/>
          <c:tx>
            <c:strRef>
              <c:f>'1 Sample T 1'!$R$6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'1 Sample T 1'!$S$3</c:f>
              <c:strCache>
                <c:ptCount val="1"/>
                <c:pt idx="0">
                  <c:v>Weight Loss</c:v>
                </c:pt>
              </c:strCache>
            </c:strRef>
          </c:cat>
          <c:val>
            <c:numRef>
              <c:f>'1 Sample T 1'!$S$6</c:f>
              <c:numCache>
                <c:formatCode>0</c:formatCode>
                <c:ptCount val="1"/>
                <c:pt idx="0">
                  <c:v>9</c:v>
                </c:pt>
              </c:numCache>
            </c:numRef>
          </c:val>
        </c:ser>
        <c:ser>
          <c:idx val="3"/>
          <c:order val="3"/>
          <c:tx>
            <c:strRef>
              <c:f>'1 Sample T 1'!$R$7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'1 Sample T 1'!$S$8</c:f>
                <c:numCache>
                  <c:formatCode>General</c:formatCode>
                  <c:ptCount val="1"/>
                  <c:pt idx="0">
                    <c:v>10.25</c:v>
                  </c:pt>
                </c:numCache>
              </c:numRef>
            </c:plus>
          </c:errBars>
          <c:cat>
            <c:strRef>
              <c:f>'1 Sample T 1'!$S$3</c:f>
              <c:strCache>
                <c:ptCount val="1"/>
                <c:pt idx="0">
                  <c:v>Weight Loss</c:v>
                </c:pt>
              </c:strCache>
            </c:strRef>
          </c:cat>
          <c:val>
            <c:numRef>
              <c:f>'1 Sample T 1'!$S$7</c:f>
              <c:numCache>
                <c:formatCode>0</c:formatCode>
                <c:ptCount val="1"/>
                <c:pt idx="0">
                  <c:v>8.75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95872"/>
        <c:axId val="459796656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'1 Sample T 1'!$S$9</c:f>
              <c:numCache>
                <c:formatCode>0</c:formatCode>
                <c:ptCount val="1"/>
                <c:pt idx="0">
                  <c:v>14.666666666666668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95872"/>
        <c:axId val="459796656"/>
      </c:scatterChart>
      <c:scatterChart>
        <c:scatterStyle val="lineMarker"/>
        <c:varyColors val="0"/>
        <c:ser>
          <c:idx val="5"/>
          <c:order val="5"/>
          <c:tx>
            <c:v>s</c:v>
          </c:tx>
          <c:spPr>
            <a:ln w="28575"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91168"/>
        <c:axId val="459790776"/>
      </c:scatterChart>
      <c:catAx>
        <c:axId val="45979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96656"/>
        <c:crosses val="autoZero"/>
        <c:auto val="1"/>
        <c:lblAlgn val="ctr"/>
        <c:lblOffset val="100"/>
        <c:noMultiLvlLbl val="0"/>
      </c:catAx>
      <c:valAx>
        <c:axId val="4597966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one"/>
        <c:crossAx val="459795872"/>
        <c:crosses val="autoZero"/>
        <c:crossBetween val="between"/>
      </c:valAx>
      <c:valAx>
        <c:axId val="459790776"/>
        <c:scaling>
          <c:orientation val="minMax"/>
          <c:max val="25"/>
          <c:min val="-10"/>
        </c:scaling>
        <c:delete val="0"/>
        <c:axPos val="r"/>
        <c:numFmt formatCode="General" sourceLinked="1"/>
        <c:majorTickMark val="out"/>
        <c:minorTickMark val="none"/>
        <c:tickLblPos val="nextTo"/>
        <c:crossAx val="459791168"/>
        <c:crosses val="max"/>
        <c:crossBetween val="midCat"/>
      </c:valAx>
      <c:valAx>
        <c:axId val="459791168"/>
        <c:scaling>
          <c:orientation val="minMax"/>
        </c:scaling>
        <c:delete val="1"/>
        <c:axPos val="b"/>
        <c:majorTickMark val="out"/>
        <c:minorTickMark val="none"/>
        <c:tickLblPos val="nextTo"/>
        <c:crossAx val="4597907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'1 Sample T 2'!$K$4:$K$15</c:f>
              <c:strCache>
                <c:ptCount val="12"/>
                <c:pt idx="0">
                  <c:v>40</c:v>
                </c:pt>
                <c:pt idx="1">
                  <c:v>45</c:v>
                </c:pt>
                <c:pt idx="2">
                  <c:v>50</c:v>
                </c:pt>
                <c:pt idx="3">
                  <c:v>55</c:v>
                </c:pt>
                <c:pt idx="4">
                  <c:v>60</c:v>
                </c:pt>
                <c:pt idx="5">
                  <c:v>65</c:v>
                </c:pt>
                <c:pt idx="6">
                  <c:v>70</c:v>
                </c:pt>
                <c:pt idx="7">
                  <c:v>75</c:v>
                </c:pt>
                <c:pt idx="8">
                  <c:v>80</c:v>
                </c:pt>
                <c:pt idx="9">
                  <c:v>85</c:v>
                </c:pt>
                <c:pt idx="10">
                  <c:v>90</c:v>
                </c:pt>
                <c:pt idx="11">
                  <c:v>More</c:v>
                </c:pt>
              </c:strCache>
            </c:strRef>
          </c:cat>
          <c:val>
            <c:numRef>
              <c:f>'1 Sample T 2'!$L$4:$L$15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9799008"/>
        <c:axId val="459802144"/>
      </c:barChart>
      <c:catAx>
        <c:axId val="459799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59802144"/>
        <c:crosses val="autoZero"/>
        <c:auto val="1"/>
        <c:lblAlgn val="ctr"/>
        <c:lblOffset val="100"/>
        <c:noMultiLvlLbl val="0"/>
      </c:catAx>
      <c:valAx>
        <c:axId val="459802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99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Operating Performance by District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CF18CAB0-C025-41B5-AA37-783B3A508F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229A02-7D05-43AD-8AF0-AED3C2089CB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8FFEBBC-4E5D-4705-A861-109CE174C39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10BFC23-D209-43E4-A75A-C63A0570DF8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76CA191-3AEE-4EE9-BA13-CA6C5AE0642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997159E-43C4-40E0-B0EF-CA636677C00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'Scatter Chart'!$B$4:$B$9</c:f>
              <c:numCache>
                <c:formatCode>General</c:formatCode>
                <c:ptCount val="6"/>
                <c:pt idx="0">
                  <c:v>50</c:v>
                </c:pt>
                <c:pt idx="1">
                  <c:v>78</c:v>
                </c:pt>
                <c:pt idx="2">
                  <c:v>65</c:v>
                </c:pt>
                <c:pt idx="3">
                  <c:v>112</c:v>
                </c:pt>
                <c:pt idx="4">
                  <c:v>32</c:v>
                </c:pt>
                <c:pt idx="5">
                  <c:v>101</c:v>
                </c:pt>
              </c:numCache>
            </c:numRef>
          </c:xVal>
          <c:yVal>
            <c:numRef>
              <c:f>'Scatter Chart'!$C$4:$C$9</c:f>
              <c:numCache>
                <c:formatCode>General</c:formatCode>
                <c:ptCount val="6"/>
                <c:pt idx="0">
                  <c:v>74</c:v>
                </c:pt>
                <c:pt idx="1">
                  <c:v>95</c:v>
                </c:pt>
                <c:pt idx="2">
                  <c:v>87</c:v>
                </c:pt>
                <c:pt idx="3">
                  <c:v>156</c:v>
                </c:pt>
                <c:pt idx="4">
                  <c:v>54</c:v>
                </c:pt>
                <c:pt idx="5">
                  <c:v>142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'Scatter Chart'!$A$4:$A$9</c15:f>
                <c15:dlblRangeCache>
                  <c:ptCount val="6"/>
                  <c:pt idx="0">
                    <c:v>E</c:v>
                  </c:pt>
                  <c:pt idx="1">
                    <c:v>NE</c:v>
                  </c:pt>
                  <c:pt idx="2">
                    <c:v>NW</c:v>
                  </c:pt>
                  <c:pt idx="3">
                    <c:v>SE</c:v>
                  </c:pt>
                  <c:pt idx="4">
                    <c:v>SW</c:v>
                  </c:pt>
                  <c:pt idx="5">
                    <c:v>W</c:v>
                  </c:pt>
                </c15:dlblRangeCache>
              </c15:datalabelsRang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84305888"/>
        <c:axId val="684320392"/>
      </c:scatterChart>
      <c:valAx>
        <c:axId val="68430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Revenues ($M)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320392"/>
        <c:crosses val="autoZero"/>
        <c:crossBetween val="midCat"/>
      </c:valAx>
      <c:valAx>
        <c:axId val="684320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Cost ($M)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305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'1 Sample T 2'!$L$38:$L$77</c:f>
              <c:numCache>
                <c:formatCode>General</c:formatCode>
                <c:ptCount val="40"/>
                <c:pt idx="0">
                  <c:v>35</c:v>
                </c:pt>
                <c:pt idx="1">
                  <c:v>38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49</c:v>
                </c:pt>
                <c:pt idx="6">
                  <c:v>50</c:v>
                </c:pt>
                <c:pt idx="7">
                  <c:v>52</c:v>
                </c:pt>
                <c:pt idx="8">
                  <c:v>54</c:v>
                </c:pt>
                <c:pt idx="9">
                  <c:v>58</c:v>
                </c:pt>
                <c:pt idx="10">
                  <c:v>58</c:v>
                </c:pt>
                <c:pt idx="11">
                  <c:v>59</c:v>
                </c:pt>
                <c:pt idx="12">
                  <c:v>59</c:v>
                </c:pt>
                <c:pt idx="13">
                  <c:v>60</c:v>
                </c:pt>
                <c:pt idx="14">
                  <c:v>63</c:v>
                </c:pt>
                <c:pt idx="15">
                  <c:v>63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68</c:v>
                </c:pt>
                <c:pt idx="20">
                  <c:v>68</c:v>
                </c:pt>
                <c:pt idx="21">
                  <c:v>68</c:v>
                </c:pt>
                <c:pt idx="22">
                  <c:v>72</c:v>
                </c:pt>
                <c:pt idx="23">
                  <c:v>75</c:v>
                </c:pt>
                <c:pt idx="24">
                  <c:v>75</c:v>
                </c:pt>
                <c:pt idx="25">
                  <c:v>76</c:v>
                </c:pt>
                <c:pt idx="26">
                  <c:v>76</c:v>
                </c:pt>
                <c:pt idx="27">
                  <c:v>78</c:v>
                </c:pt>
                <c:pt idx="28">
                  <c:v>80</c:v>
                </c:pt>
                <c:pt idx="29">
                  <c:v>81</c:v>
                </c:pt>
                <c:pt idx="30">
                  <c:v>83</c:v>
                </c:pt>
                <c:pt idx="31">
                  <c:v>84</c:v>
                </c:pt>
                <c:pt idx="32">
                  <c:v>86</c:v>
                </c:pt>
                <c:pt idx="33">
                  <c:v>87</c:v>
                </c:pt>
                <c:pt idx="34">
                  <c:v>87</c:v>
                </c:pt>
                <c:pt idx="35">
                  <c:v>90</c:v>
                </c:pt>
                <c:pt idx="36">
                  <c:v>90</c:v>
                </c:pt>
                <c:pt idx="37">
                  <c:v>92</c:v>
                </c:pt>
                <c:pt idx="38">
                  <c:v>95</c:v>
                </c:pt>
                <c:pt idx="39">
                  <c:v>100</c:v>
                </c:pt>
              </c:numCache>
            </c:numRef>
          </c:xVal>
          <c:yVal>
            <c:numRef>
              <c:f>'1 Sample T 2'!$M$38:$M$77</c:f>
              <c:numCache>
                <c:formatCode>General</c:formatCode>
                <c:ptCount val="40"/>
                <c:pt idx="0">
                  <c:v>-2.2414027276049446</c:v>
                </c:pt>
                <c:pt idx="1">
                  <c:v>-1.7804643416920256</c:v>
                </c:pt>
                <c:pt idx="2">
                  <c:v>-1.5341205443525459</c:v>
                </c:pt>
                <c:pt idx="3">
                  <c:v>-1.3563117453352478</c:v>
                </c:pt>
                <c:pt idx="4">
                  <c:v>-1.2133396224885178</c:v>
                </c:pt>
                <c:pt idx="5">
                  <c:v>-1.091620367434168</c:v>
                </c:pt>
                <c:pt idx="6">
                  <c:v>-0.98423496044632541</c:v>
                </c:pt>
                <c:pt idx="7">
                  <c:v>-0.88714655901887607</c:v>
                </c:pt>
                <c:pt idx="8">
                  <c:v>-0.79777684612523825</c:v>
                </c:pt>
                <c:pt idx="9">
                  <c:v>-0.71436744028018739</c:v>
                </c:pt>
                <c:pt idx="10">
                  <c:v>-0.63565701369758276</c:v>
                </c:pt>
                <c:pt idx="11">
                  <c:v>-0.5607030318750833</c:v>
                </c:pt>
                <c:pt idx="12">
                  <c:v>-0.48877641111466941</c:v>
                </c:pt>
                <c:pt idx="13">
                  <c:v>-0.41929575304139605</c:v>
                </c:pt>
                <c:pt idx="14">
                  <c:v>-0.35178434493515626</c:v>
                </c:pt>
                <c:pt idx="15">
                  <c:v>-0.28584087488116566</c:v>
                </c:pt>
                <c:pt idx="16">
                  <c:v>-0.22111871299757052</c:v>
                </c:pt>
                <c:pt idx="17">
                  <c:v>-0.1573106846101707</c:v>
                </c:pt>
                <c:pt idx="18">
                  <c:v>-9.4137414323536367E-2</c:v>
                </c:pt>
                <c:pt idx="19">
                  <c:v>-3.1337982021426625E-2</c:v>
                </c:pt>
                <c:pt idx="20">
                  <c:v>3.1337982021426479E-2</c:v>
                </c:pt>
                <c:pt idx="21">
                  <c:v>9.4137414323536367E-2</c:v>
                </c:pt>
                <c:pt idx="22">
                  <c:v>0.1573106846101707</c:v>
                </c:pt>
                <c:pt idx="23">
                  <c:v>0.22111871299757052</c:v>
                </c:pt>
                <c:pt idx="24">
                  <c:v>0.28584087488116572</c:v>
                </c:pt>
                <c:pt idx="25">
                  <c:v>0.35178434493515615</c:v>
                </c:pt>
                <c:pt idx="26">
                  <c:v>0.41929575304139605</c:v>
                </c:pt>
                <c:pt idx="27">
                  <c:v>0.48877641111466941</c:v>
                </c:pt>
                <c:pt idx="28">
                  <c:v>0.5607030318750833</c:v>
                </c:pt>
                <c:pt idx="29">
                  <c:v>0.63565701369758265</c:v>
                </c:pt>
                <c:pt idx="30">
                  <c:v>0.71436744028018784</c:v>
                </c:pt>
                <c:pt idx="31">
                  <c:v>0.79777684612523825</c:v>
                </c:pt>
                <c:pt idx="32">
                  <c:v>0.88714655901887607</c:v>
                </c:pt>
                <c:pt idx="33">
                  <c:v>0.98423496044632541</c:v>
                </c:pt>
                <c:pt idx="34">
                  <c:v>1.0916203674341685</c:v>
                </c:pt>
                <c:pt idx="35">
                  <c:v>1.213339622488518</c:v>
                </c:pt>
                <c:pt idx="36">
                  <c:v>1.3563117453352478</c:v>
                </c:pt>
                <c:pt idx="37">
                  <c:v>1.5341205443525465</c:v>
                </c:pt>
                <c:pt idx="38">
                  <c:v>1.7804643416920258</c:v>
                </c:pt>
                <c:pt idx="39">
                  <c:v>2.2414027276049464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800184"/>
        <c:axId val="459799792"/>
      </c:scatterChart>
      <c:valAx>
        <c:axId val="459800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99792"/>
        <c:crosses val="autoZero"/>
        <c:crossBetween val="midCat"/>
      </c:valAx>
      <c:valAx>
        <c:axId val="4597997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Standardized 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800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 Sample T 2'!$K$20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'1 Sample T 2'!$L$19</c:f>
              <c:numCache>
                <c:formatCode>General</c:formatCode>
                <c:ptCount val="1"/>
              </c:numCache>
            </c:numRef>
          </c:cat>
          <c:val>
            <c:numRef>
              <c:f>'1 Sample T 2'!$L$20</c:f>
              <c:numCache>
                <c:formatCode>General</c:formatCode>
                <c:ptCount val="1"/>
                <c:pt idx="0">
                  <c:v>35</c:v>
                </c:pt>
              </c:numCache>
            </c:numRef>
          </c:val>
        </c:ser>
        <c:ser>
          <c:idx val="1"/>
          <c:order val="1"/>
          <c:tx>
            <c:strRef>
              <c:f>'1 Sample T 2'!$K$21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'1 Sample T 2'!$L$19</c:f>
              <c:numCache>
                <c:formatCode>General</c:formatCode>
                <c:ptCount val="1"/>
              </c:numCache>
            </c:numRef>
          </c:cat>
          <c:val>
            <c:numRef>
              <c:f>'1 Sample T 2'!$L$21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2"/>
          <c:order val="2"/>
          <c:tx>
            <c:strRef>
              <c:f>'1 Sample T 2'!$K$22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'1 Sample T 2'!$L$19</c:f>
              <c:numCache>
                <c:formatCode>General</c:formatCode>
                <c:ptCount val="1"/>
              </c:numCache>
            </c:numRef>
          </c:cat>
          <c:val>
            <c:numRef>
              <c:f>'1 Sample T 2'!$L$22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3"/>
          <c:order val="3"/>
          <c:tx>
            <c:strRef>
              <c:f>'1 Sample T 2'!$K$23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'1 Sample T 2'!$L$24</c:f>
                <c:numCache>
                  <c:formatCode>General</c:formatCode>
                  <c:ptCount val="1"/>
                  <c:pt idx="0">
                    <c:v>18.5</c:v>
                  </c:pt>
                </c:numCache>
              </c:numRef>
            </c:plus>
          </c:errBars>
          <c:cat>
            <c:numRef>
              <c:f>'1 Sample T 2'!$L$19</c:f>
              <c:numCache>
                <c:formatCode>General</c:formatCode>
                <c:ptCount val="1"/>
              </c:numCache>
            </c:numRef>
          </c:cat>
          <c:val>
            <c:numRef>
              <c:f>'1 Sample T 2'!$L$23</c:f>
              <c:numCache>
                <c:formatCode>General</c:formatCode>
                <c:ptCount val="1"/>
                <c:pt idx="0">
                  <c:v>13.5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99400"/>
        <c:axId val="459797832"/>
      </c:barChart>
      <c:catAx>
        <c:axId val="459799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97832"/>
        <c:crosses val="autoZero"/>
        <c:auto val="1"/>
        <c:lblAlgn val="ctr"/>
        <c:lblOffset val="100"/>
        <c:noMultiLvlLbl val="0"/>
      </c:catAx>
      <c:valAx>
        <c:axId val="459797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99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Powe</a:t>
            </a:r>
            <a:r>
              <a:rPr lang="en-US" baseline="0"/>
              <a:t>r by effect size</a:t>
            </a:r>
            <a:endParaRPr lang="en-US"/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'T Power 1'!$N$5</c:f>
              <c:strCache>
                <c:ptCount val="1"/>
                <c:pt idx="0">
                  <c:v>power</c:v>
                </c:pt>
              </c:strCache>
            </c:strRef>
          </c:tx>
          <c:marker>
            <c:symbol val="none"/>
          </c:marker>
          <c:xVal>
            <c:numRef>
              <c:f>'T Power 1'!$L$6:$L$32</c:f>
              <c:numCache>
                <c:formatCode>General</c:formatCode>
                <c:ptCount val="27"/>
                <c:pt idx="0">
                  <c:v>0</c:v>
                </c:pt>
                <c:pt idx="1">
                  <c:v>4.8471600449361961E-2</c:v>
                </c:pt>
                <c:pt idx="2">
                  <c:v>9.6943200898723922E-2</c:v>
                </c:pt>
                <c:pt idx="3">
                  <c:v>0.14541480134808588</c:v>
                </c:pt>
                <c:pt idx="4">
                  <c:v>0.19388640179744784</c:v>
                </c:pt>
                <c:pt idx="5">
                  <c:v>0.24235800224680981</c:v>
                </c:pt>
                <c:pt idx="6">
                  <c:v>0.29082960269617175</c:v>
                </c:pt>
                <c:pt idx="7">
                  <c:v>0.33930120314553375</c:v>
                </c:pt>
                <c:pt idx="8">
                  <c:v>0.38777280359489569</c:v>
                </c:pt>
                <c:pt idx="9">
                  <c:v>0.43624440404425768</c:v>
                </c:pt>
                <c:pt idx="10">
                  <c:v>0.48471600449361962</c:v>
                </c:pt>
                <c:pt idx="11">
                  <c:v>0.53318760494298156</c:v>
                </c:pt>
                <c:pt idx="12">
                  <c:v>0.5816592053923435</c:v>
                </c:pt>
                <c:pt idx="13">
                  <c:v>0.63013080584170555</c:v>
                </c:pt>
                <c:pt idx="14">
                  <c:v>0.67860240629106749</c:v>
                </c:pt>
                <c:pt idx="15">
                  <c:v>0.72707400674042943</c:v>
                </c:pt>
                <c:pt idx="16">
                  <c:v>0.77554560718979138</c:v>
                </c:pt>
                <c:pt idx="17">
                  <c:v>0.82401720763915332</c:v>
                </c:pt>
                <c:pt idx="18">
                  <c:v>0.87248880808851537</c:v>
                </c:pt>
                <c:pt idx="19">
                  <c:v>0.92096040853787731</c:v>
                </c:pt>
                <c:pt idx="20">
                  <c:v>0.96943200898723925</c:v>
                </c:pt>
              </c:numCache>
            </c:numRef>
          </c:xVal>
          <c:yVal>
            <c:numRef>
              <c:f>'T Power 1'!$N$6:$N$32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800968"/>
        <c:axId val="459804104"/>
      </c:scatterChart>
      <c:valAx>
        <c:axId val="45980096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effect size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804104"/>
        <c:crosses val="autoZero"/>
        <c:crossBetween val="midCat"/>
      </c:valAx>
      <c:valAx>
        <c:axId val="459804104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power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crossAx val="4598009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'T Power 1'!$C$34</c:f>
              <c:strCache>
                <c:ptCount val="1"/>
                <c:pt idx="0">
                  <c:v>H0</c:v>
                </c:pt>
              </c:strCache>
            </c:strRef>
          </c:tx>
          <c:marker>
            <c:symbol val="none"/>
          </c:marker>
          <c:xVal>
            <c:numRef>
              <c:f>'T Power 1'!$B$35:$B$195</c:f>
              <c:numCache>
                <c:formatCode>General</c:formatCode>
                <c:ptCount val="161"/>
                <c:pt idx="0">
                  <c:v>43.577577660338285</c:v>
                </c:pt>
                <c:pt idx="1">
                  <c:v>43.682857939584053</c:v>
                </c:pt>
                <c:pt idx="2">
                  <c:v>43.788138218829829</c:v>
                </c:pt>
                <c:pt idx="3">
                  <c:v>43.893418498075597</c:v>
                </c:pt>
                <c:pt idx="4">
                  <c:v>43.998698777321366</c:v>
                </c:pt>
                <c:pt idx="5">
                  <c:v>44.103979056567141</c:v>
                </c:pt>
                <c:pt idx="6">
                  <c:v>44.209259335812909</c:v>
                </c:pt>
                <c:pt idx="7">
                  <c:v>44.314539615058678</c:v>
                </c:pt>
                <c:pt idx="8">
                  <c:v>44.419819894304453</c:v>
                </c:pt>
                <c:pt idx="9">
                  <c:v>44.525100173550221</c:v>
                </c:pt>
                <c:pt idx="10">
                  <c:v>44.630380452795997</c:v>
                </c:pt>
                <c:pt idx="11">
                  <c:v>44.735660732041765</c:v>
                </c:pt>
                <c:pt idx="12">
                  <c:v>44.840941011287534</c:v>
                </c:pt>
                <c:pt idx="13">
                  <c:v>44.946221290533309</c:v>
                </c:pt>
                <c:pt idx="14">
                  <c:v>45.051501569779077</c:v>
                </c:pt>
                <c:pt idx="15">
                  <c:v>45.156781849024853</c:v>
                </c:pt>
                <c:pt idx="16">
                  <c:v>45.262062128270621</c:v>
                </c:pt>
                <c:pt idx="17">
                  <c:v>45.367342407516389</c:v>
                </c:pt>
                <c:pt idx="18">
                  <c:v>45.472622686762165</c:v>
                </c:pt>
                <c:pt idx="19">
                  <c:v>45.577902966007933</c:v>
                </c:pt>
                <c:pt idx="20">
                  <c:v>45.683183245253701</c:v>
                </c:pt>
                <c:pt idx="21">
                  <c:v>45.788463524499477</c:v>
                </c:pt>
                <c:pt idx="22">
                  <c:v>45.893743803745245</c:v>
                </c:pt>
                <c:pt idx="23">
                  <c:v>45.999024082991021</c:v>
                </c:pt>
                <c:pt idx="24">
                  <c:v>46.104304362236789</c:v>
                </c:pt>
                <c:pt idx="25">
                  <c:v>46.209584641482564</c:v>
                </c:pt>
                <c:pt idx="26">
                  <c:v>46.314864920728333</c:v>
                </c:pt>
                <c:pt idx="27">
                  <c:v>46.420145199974101</c:v>
                </c:pt>
                <c:pt idx="28">
                  <c:v>46.525425479219876</c:v>
                </c:pt>
                <c:pt idx="29">
                  <c:v>46.630705758465645</c:v>
                </c:pt>
                <c:pt idx="30">
                  <c:v>46.735986037711413</c:v>
                </c:pt>
                <c:pt idx="31">
                  <c:v>46.841266316957189</c:v>
                </c:pt>
                <c:pt idx="32">
                  <c:v>46.946546596202957</c:v>
                </c:pt>
                <c:pt idx="33">
                  <c:v>47.051826875448725</c:v>
                </c:pt>
                <c:pt idx="34">
                  <c:v>47.157107154694501</c:v>
                </c:pt>
                <c:pt idx="35">
                  <c:v>47.262387433940269</c:v>
                </c:pt>
                <c:pt idx="36">
                  <c:v>47.367667713186044</c:v>
                </c:pt>
                <c:pt idx="37">
                  <c:v>47.472947992431813</c:v>
                </c:pt>
                <c:pt idx="38">
                  <c:v>47.578228271677588</c:v>
                </c:pt>
                <c:pt idx="39">
                  <c:v>47.683508550923356</c:v>
                </c:pt>
                <c:pt idx="40">
                  <c:v>47.788788830169125</c:v>
                </c:pt>
                <c:pt idx="41">
                  <c:v>47.8940691094149</c:v>
                </c:pt>
                <c:pt idx="42">
                  <c:v>47.999349388660669</c:v>
                </c:pt>
                <c:pt idx="43">
                  <c:v>48.104629667906444</c:v>
                </c:pt>
                <c:pt idx="44">
                  <c:v>48.209909947152212</c:v>
                </c:pt>
                <c:pt idx="45">
                  <c:v>48.315190226397988</c:v>
                </c:pt>
                <c:pt idx="46">
                  <c:v>48.420470505643756</c:v>
                </c:pt>
                <c:pt idx="47">
                  <c:v>48.525750784889524</c:v>
                </c:pt>
                <c:pt idx="48">
                  <c:v>48.6310310641353</c:v>
                </c:pt>
                <c:pt idx="49">
                  <c:v>48.736311343381068</c:v>
                </c:pt>
                <c:pt idx="50">
                  <c:v>48.841591622626844</c:v>
                </c:pt>
                <c:pt idx="51">
                  <c:v>48.946871901872612</c:v>
                </c:pt>
                <c:pt idx="52">
                  <c:v>49.052152181118387</c:v>
                </c:pt>
                <c:pt idx="53">
                  <c:v>49.157432460364156</c:v>
                </c:pt>
                <c:pt idx="54">
                  <c:v>49.262712739609931</c:v>
                </c:pt>
                <c:pt idx="55">
                  <c:v>49.367993018855699</c:v>
                </c:pt>
                <c:pt idx="56">
                  <c:v>49.473273298101475</c:v>
                </c:pt>
                <c:pt idx="57">
                  <c:v>49.578553577347243</c:v>
                </c:pt>
                <c:pt idx="58">
                  <c:v>49.683833856593012</c:v>
                </c:pt>
                <c:pt idx="59">
                  <c:v>49.789114135838787</c:v>
                </c:pt>
                <c:pt idx="60">
                  <c:v>49.894394415084555</c:v>
                </c:pt>
                <c:pt idx="61">
                  <c:v>49.999674694330331</c:v>
                </c:pt>
                <c:pt idx="62">
                  <c:v>50.104954973576099</c:v>
                </c:pt>
                <c:pt idx="63">
                  <c:v>50.210235252821874</c:v>
                </c:pt>
                <c:pt idx="64">
                  <c:v>50.315515532067643</c:v>
                </c:pt>
                <c:pt idx="65">
                  <c:v>50.420795811313418</c:v>
                </c:pt>
                <c:pt idx="66">
                  <c:v>50.526076090559187</c:v>
                </c:pt>
                <c:pt idx="67">
                  <c:v>50.631356369804962</c:v>
                </c:pt>
                <c:pt idx="68">
                  <c:v>50.73663664905073</c:v>
                </c:pt>
                <c:pt idx="69">
                  <c:v>50.841916928296499</c:v>
                </c:pt>
                <c:pt idx="70">
                  <c:v>50.947197207542274</c:v>
                </c:pt>
                <c:pt idx="71">
                  <c:v>51.052477486788042</c:v>
                </c:pt>
                <c:pt idx="72">
                  <c:v>51.157757766033818</c:v>
                </c:pt>
                <c:pt idx="73">
                  <c:v>51.263038045279586</c:v>
                </c:pt>
                <c:pt idx="74">
                  <c:v>51.368318324525362</c:v>
                </c:pt>
                <c:pt idx="75">
                  <c:v>51.47359860377113</c:v>
                </c:pt>
                <c:pt idx="76">
                  <c:v>51.578878883016905</c:v>
                </c:pt>
                <c:pt idx="77">
                  <c:v>51.684159162262674</c:v>
                </c:pt>
                <c:pt idx="78">
                  <c:v>51.789439441508442</c:v>
                </c:pt>
                <c:pt idx="79">
                  <c:v>51.894719720754217</c:v>
                </c:pt>
                <c:pt idx="80">
                  <c:v>51.999999999999986</c:v>
                </c:pt>
                <c:pt idx="81">
                  <c:v>52.105280279245761</c:v>
                </c:pt>
                <c:pt idx="82">
                  <c:v>52.21056055849153</c:v>
                </c:pt>
                <c:pt idx="83">
                  <c:v>52.315840837737305</c:v>
                </c:pt>
                <c:pt idx="84">
                  <c:v>52.421121116983073</c:v>
                </c:pt>
                <c:pt idx="85">
                  <c:v>52.526401396228842</c:v>
                </c:pt>
                <c:pt idx="86">
                  <c:v>52.631681675474617</c:v>
                </c:pt>
                <c:pt idx="87">
                  <c:v>52.736961954720385</c:v>
                </c:pt>
                <c:pt idx="88">
                  <c:v>52.842242233966161</c:v>
                </c:pt>
                <c:pt idx="89">
                  <c:v>52.947522513211929</c:v>
                </c:pt>
                <c:pt idx="90">
                  <c:v>53.052802792457705</c:v>
                </c:pt>
                <c:pt idx="91">
                  <c:v>53.158083071703473</c:v>
                </c:pt>
                <c:pt idx="92">
                  <c:v>53.263363350949248</c:v>
                </c:pt>
                <c:pt idx="93">
                  <c:v>53.368643630195017</c:v>
                </c:pt>
                <c:pt idx="94">
                  <c:v>53.473923909440785</c:v>
                </c:pt>
                <c:pt idx="95">
                  <c:v>53.57920418868656</c:v>
                </c:pt>
                <c:pt idx="96">
                  <c:v>53.684484467932329</c:v>
                </c:pt>
                <c:pt idx="97">
                  <c:v>53.789764747178104</c:v>
                </c:pt>
                <c:pt idx="98">
                  <c:v>53.895045026423873</c:v>
                </c:pt>
                <c:pt idx="99">
                  <c:v>54.000325305669648</c:v>
                </c:pt>
                <c:pt idx="100">
                  <c:v>54.105605584915416</c:v>
                </c:pt>
                <c:pt idx="101">
                  <c:v>54.210885864161192</c:v>
                </c:pt>
                <c:pt idx="102">
                  <c:v>54.31616614340696</c:v>
                </c:pt>
                <c:pt idx="103">
                  <c:v>54.421446422652735</c:v>
                </c:pt>
                <c:pt idx="104">
                  <c:v>54.526726701898504</c:v>
                </c:pt>
                <c:pt idx="105">
                  <c:v>54.632006981144272</c:v>
                </c:pt>
                <c:pt idx="106">
                  <c:v>54.737287260390048</c:v>
                </c:pt>
                <c:pt idx="107">
                  <c:v>54.842567539635816</c:v>
                </c:pt>
                <c:pt idx="108">
                  <c:v>54.947847818881591</c:v>
                </c:pt>
                <c:pt idx="109">
                  <c:v>55.05312809812736</c:v>
                </c:pt>
                <c:pt idx="110">
                  <c:v>55.158408377373135</c:v>
                </c:pt>
                <c:pt idx="111">
                  <c:v>55.263688656618903</c:v>
                </c:pt>
                <c:pt idx="112">
                  <c:v>55.368968935864679</c:v>
                </c:pt>
                <c:pt idx="113">
                  <c:v>55.474249215110447</c:v>
                </c:pt>
                <c:pt idx="114">
                  <c:v>55.579529494356223</c:v>
                </c:pt>
                <c:pt idx="115">
                  <c:v>55.684809773601991</c:v>
                </c:pt>
                <c:pt idx="116">
                  <c:v>55.790090052847759</c:v>
                </c:pt>
                <c:pt idx="117">
                  <c:v>55.895370332093535</c:v>
                </c:pt>
                <c:pt idx="118">
                  <c:v>56.000650611339303</c:v>
                </c:pt>
                <c:pt idx="119">
                  <c:v>56.105930890585078</c:v>
                </c:pt>
                <c:pt idx="120">
                  <c:v>56.211211169830847</c:v>
                </c:pt>
                <c:pt idx="121">
                  <c:v>56.316491449076622</c:v>
                </c:pt>
                <c:pt idx="122">
                  <c:v>56.421771728322391</c:v>
                </c:pt>
                <c:pt idx="123">
                  <c:v>56.527052007568159</c:v>
                </c:pt>
                <c:pt idx="124">
                  <c:v>56.632332286813934</c:v>
                </c:pt>
                <c:pt idx="125">
                  <c:v>56.737612566059703</c:v>
                </c:pt>
                <c:pt idx="126">
                  <c:v>56.842892845305478</c:v>
                </c:pt>
                <c:pt idx="127">
                  <c:v>56.948173124551246</c:v>
                </c:pt>
                <c:pt idx="128">
                  <c:v>57.053453403797015</c:v>
                </c:pt>
                <c:pt idx="129">
                  <c:v>57.15873368304279</c:v>
                </c:pt>
                <c:pt idx="130">
                  <c:v>57.264013962288558</c:v>
                </c:pt>
                <c:pt idx="131">
                  <c:v>57.369294241534334</c:v>
                </c:pt>
                <c:pt idx="132">
                  <c:v>57.474574520780102</c:v>
                </c:pt>
                <c:pt idx="133">
                  <c:v>57.579854800025871</c:v>
                </c:pt>
                <c:pt idx="134">
                  <c:v>57.685135079271646</c:v>
                </c:pt>
                <c:pt idx="135">
                  <c:v>57.790415358517414</c:v>
                </c:pt>
                <c:pt idx="136">
                  <c:v>57.895695637763183</c:v>
                </c:pt>
                <c:pt idx="137">
                  <c:v>58.000975917008958</c:v>
                </c:pt>
                <c:pt idx="138">
                  <c:v>58.106256196254726</c:v>
                </c:pt>
                <c:pt idx="139">
                  <c:v>58.211536475500502</c:v>
                </c:pt>
                <c:pt idx="140">
                  <c:v>58.31681675474627</c:v>
                </c:pt>
                <c:pt idx="141">
                  <c:v>58.422097033992046</c:v>
                </c:pt>
                <c:pt idx="142">
                  <c:v>58.527377313237814</c:v>
                </c:pt>
                <c:pt idx="143">
                  <c:v>58.632657592483582</c:v>
                </c:pt>
                <c:pt idx="144">
                  <c:v>58.737937871729358</c:v>
                </c:pt>
                <c:pt idx="145">
                  <c:v>58.843218150975126</c:v>
                </c:pt>
                <c:pt idx="146">
                  <c:v>58.948498430220894</c:v>
                </c:pt>
                <c:pt idx="147">
                  <c:v>59.05377870946667</c:v>
                </c:pt>
                <c:pt idx="148">
                  <c:v>59.159058988712438</c:v>
                </c:pt>
                <c:pt idx="149">
                  <c:v>59.264339267958206</c:v>
                </c:pt>
                <c:pt idx="150">
                  <c:v>59.369619547203982</c:v>
                </c:pt>
                <c:pt idx="151">
                  <c:v>59.47489982644975</c:v>
                </c:pt>
                <c:pt idx="152">
                  <c:v>59.580180105695526</c:v>
                </c:pt>
                <c:pt idx="153">
                  <c:v>59.685460384941294</c:v>
                </c:pt>
                <c:pt idx="154">
                  <c:v>59.790740664187069</c:v>
                </c:pt>
                <c:pt idx="155">
                  <c:v>59.896020943432838</c:v>
                </c:pt>
                <c:pt idx="156">
                  <c:v>60.001301222678606</c:v>
                </c:pt>
                <c:pt idx="157">
                  <c:v>60.106581501924381</c:v>
                </c:pt>
                <c:pt idx="158">
                  <c:v>60.21186178117015</c:v>
                </c:pt>
                <c:pt idx="159">
                  <c:v>60.317142060415918</c:v>
                </c:pt>
                <c:pt idx="160">
                  <c:v>60.422422339661694</c:v>
                </c:pt>
              </c:numCache>
            </c:numRef>
          </c:xVal>
          <c:yVal>
            <c:numRef>
              <c:f>'T Power 1'!$C$35:$C$195</c:f>
              <c:numCache>
                <c:formatCode>General</c:formatCode>
                <c:ptCount val="161"/>
                <c:pt idx="0">
                  <c:v>6.9847313290886926E-4</c:v>
                </c:pt>
                <c:pt idx="1">
                  <c:v>7.8984124769042709E-4</c:v>
                </c:pt>
                <c:pt idx="2">
                  <c:v>8.9289530112840465E-4</c:v>
                </c:pt>
                <c:pt idx="3">
                  <c:v>1.009072129465419E-3</c:v>
                </c:pt>
                <c:pt idx="4">
                  <c:v>1.1399739020851629E-3</c:v>
                </c:pt>
                <c:pt idx="5">
                  <c:v>1.2873850492757806E-3</c:v>
                </c:pt>
                <c:pt idx="6">
                  <c:v>1.4532905470307582E-3</c:v>
                </c:pt>
                <c:pt idx="7">
                  <c:v>1.6398955995339201E-3</c:v>
                </c:pt>
                <c:pt idx="8">
                  <c:v>1.8496467470340457E-3</c:v>
                </c:pt>
                <c:pt idx="9">
                  <c:v>2.0852544104593158E-3</c:v>
                </c:pt>
                <c:pt idx="10">
                  <c:v>2.3497168638986388E-3</c:v>
                </c:pt>
                <c:pt idx="11">
                  <c:v>2.6463456015155106E-3</c:v>
                </c:pt>
                <c:pt idx="12">
                  <c:v>2.9787920360836552E-3</c:v>
                </c:pt>
                <c:pt idx="13">
                  <c:v>3.3510754316705203E-3</c:v>
                </c:pt>
                <c:pt idx="14">
                  <c:v>3.7676119325930216E-3</c:v>
                </c:pt>
                <c:pt idx="15">
                  <c:v>4.2332445042163065E-3</c:v>
                </c:pt>
                <c:pt idx="16">
                  <c:v>4.7532735481092868E-3</c:v>
                </c:pt>
                <c:pt idx="17">
                  <c:v>5.3334878942436457E-3</c:v>
                </c:pt>
                <c:pt idx="18">
                  <c:v>5.9801958061783105E-3</c:v>
                </c:pt>
                <c:pt idx="19">
                  <c:v>6.7002555615100464E-3</c:v>
                </c:pt>
                <c:pt idx="20">
                  <c:v>7.5011050894841901E-3</c:v>
                </c:pt>
                <c:pt idx="21">
                  <c:v>8.3907900609672421E-3</c:v>
                </c:pt>
                <c:pt idx="22">
                  <c:v>9.3779897336767962E-3</c:v>
                </c:pt>
                <c:pt idx="23">
                  <c:v>1.047203975865761E-2</c:v>
                </c:pt>
                <c:pt idx="24">
                  <c:v>1.1682951053855523E-2</c:v>
                </c:pt>
                <c:pt idx="25">
                  <c:v>1.3021423749058569E-2</c:v>
                </c:pt>
                <c:pt idx="26">
                  <c:v>1.4498855105670489E-2</c:v>
                </c:pt>
                <c:pt idx="27">
                  <c:v>1.6127340217466212E-2</c:v>
                </c:pt>
                <c:pt idx="28">
                  <c:v>1.7919664207860907E-2</c:v>
                </c:pt>
                <c:pt idx="29">
                  <c:v>1.9889284559029965E-2</c:v>
                </c:pt>
                <c:pt idx="30">
                  <c:v>2.2050302142681284E-2</c:v>
                </c:pt>
                <c:pt idx="31">
                  <c:v>2.4417419476118345E-2</c:v>
                </c:pt>
                <c:pt idx="32">
                  <c:v>2.700588470559059E-2</c:v>
                </c:pt>
                <c:pt idx="33">
                  <c:v>2.9831419827300948E-2</c:v>
                </c:pt>
                <c:pt idx="34">
                  <c:v>3.2910131700565608E-2</c:v>
                </c:pt>
                <c:pt idx="35">
                  <c:v>3.6258404493318533E-2</c:v>
                </c:pt>
                <c:pt idx="36">
                  <c:v>3.9892772333153199E-2</c:v>
                </c:pt>
                <c:pt idx="37">
                  <c:v>4.382977112280334E-2</c:v>
                </c:pt>
                <c:pt idx="38">
                  <c:v>4.8085768722214935E-2</c:v>
                </c:pt>
                <c:pt idx="39">
                  <c:v>5.2676773004108904E-2</c:v>
                </c:pt>
                <c:pt idx="40">
                  <c:v>5.7618217658942907E-2</c:v>
                </c:pt>
                <c:pt idx="41">
                  <c:v>6.2924726059680677E-2</c:v>
                </c:pt>
                <c:pt idx="42">
                  <c:v>6.8609853996107487E-2</c:v>
                </c:pt>
                <c:pt idx="43">
                  <c:v>7.4685812649714314E-2</c:v>
                </c:pt>
                <c:pt idx="44">
                  <c:v>8.1163173797966212E-2</c:v>
                </c:pt>
                <c:pt idx="45">
                  <c:v>8.8050559902822512E-2</c:v>
                </c:pt>
                <c:pt idx="46">
                  <c:v>9.5354322441383171E-2</c:v>
                </c:pt>
                <c:pt idx="47">
                  <c:v>0.10307821256203414</c:v>
                </c:pt>
                <c:pt idx="48">
                  <c:v>0.1112230488798211</c:v>
                </c:pt>
                <c:pt idx="49">
                  <c:v>0.11978638793929315</c:v>
                </c:pt>
                <c:pt idx="50">
                  <c:v>0.12876220354825577</c:v>
                </c:pt>
                <c:pt idx="51">
                  <c:v>0.13814058179593361</c:v>
                </c:pt>
                <c:pt idx="52">
                  <c:v>0.14790743908643475</c:v>
                </c:pt>
                <c:pt idx="53">
                  <c:v>0.15804427091466802</c:v>
                </c:pt>
                <c:pt idx="54">
                  <c:v>0.16852793935858928</c:v>
                </c:pt>
                <c:pt idx="55">
                  <c:v>0.17933050733160047</c:v>
                </c:pt>
                <c:pt idx="56">
                  <c:v>0.19041912750727322</c:v>
                </c:pt>
                <c:pt idx="57">
                  <c:v>0.20175599347423381</c:v>
                </c:pt>
                <c:pt idx="58">
                  <c:v>0.21329836008602401</c:v>
                </c:pt>
                <c:pt idx="59">
                  <c:v>0.22499863912943704</c:v>
                </c:pt>
                <c:pt idx="60">
                  <c:v>0.23680457534321936</c:v>
                </c:pt>
                <c:pt idx="61">
                  <c:v>0.24865950648372862</c:v>
                </c:pt>
                <c:pt idx="62">
                  <c:v>0.2605027095711378</c:v>
                </c:pt>
                <c:pt idx="63">
                  <c:v>0.27226983368486285</c:v>
                </c:pt>
                <c:pt idx="64">
                  <c:v>0.28389341774567617</c:v>
                </c:pt>
                <c:pt idx="65">
                  <c:v>0.29530348966950626</c:v>
                </c:pt>
                <c:pt idx="66">
                  <c:v>0.30642824115777911</c:v>
                </c:pt>
                <c:pt idx="67">
                  <c:v>0.31719477026207782</c:v>
                </c:pt>
                <c:pt idx="68">
                  <c:v>0.32752988179298531</c:v>
                </c:pt>
                <c:pt idx="69">
                  <c:v>0.33736093370341957</c:v>
                </c:pt>
                <c:pt idx="70">
                  <c:v>0.3466167158353175</c:v>
                </c:pt>
                <c:pt idx="71">
                  <c:v>0.35522834594263486</c:v>
                </c:pt>
                <c:pt idx="72">
                  <c:v>0.36313016675558774</c:v>
                </c:pt>
                <c:pt idx="73">
                  <c:v>0.37026062708506108</c:v>
                </c:pt>
                <c:pt idx="74">
                  <c:v>0.37656312962559563</c:v>
                </c:pt>
                <c:pt idx="75">
                  <c:v>0.38198682823059565</c:v>
                </c:pt>
                <c:pt idx="76">
                  <c:v>0.38648735801961398</c:v>
                </c:pt>
                <c:pt idx="77">
                  <c:v>0.39002748273363458</c:v>
                </c:pt>
                <c:pt idx="78">
                  <c:v>0.39257764526209188</c:v>
                </c:pt>
                <c:pt idx="79">
                  <c:v>0.39411640919001467</c:v>
                </c:pt>
                <c:pt idx="80">
                  <c:v>0.39463078150433906</c:v>
                </c:pt>
                <c:pt idx="81">
                  <c:v>0.39411640919001489</c:v>
                </c:pt>
                <c:pt idx="82">
                  <c:v>0.39257764526209232</c:v>
                </c:pt>
                <c:pt idx="83">
                  <c:v>0.39002748273363524</c:v>
                </c:pt>
                <c:pt idx="84">
                  <c:v>0.38648735801961487</c:v>
                </c:pt>
                <c:pt idx="85">
                  <c:v>0.38198682823059676</c:v>
                </c:pt>
                <c:pt idx="86">
                  <c:v>0.37656312962559696</c:v>
                </c:pt>
                <c:pt idx="87">
                  <c:v>0.37026062708506263</c:v>
                </c:pt>
                <c:pt idx="88">
                  <c:v>0.36313016675558951</c:v>
                </c:pt>
                <c:pt idx="89">
                  <c:v>0.3552283459426368</c:v>
                </c:pt>
                <c:pt idx="90">
                  <c:v>0.34661671583531956</c:v>
                </c:pt>
                <c:pt idx="91">
                  <c:v>0.33736093370342191</c:v>
                </c:pt>
                <c:pt idx="92">
                  <c:v>0.32752988179298775</c:v>
                </c:pt>
                <c:pt idx="93">
                  <c:v>0.31719477026208032</c:v>
                </c:pt>
                <c:pt idx="94">
                  <c:v>0.30642824115778167</c:v>
                </c:pt>
                <c:pt idx="95">
                  <c:v>0.29530348966950876</c:v>
                </c:pt>
                <c:pt idx="96">
                  <c:v>0.28389341774567878</c:v>
                </c:pt>
                <c:pt idx="97">
                  <c:v>0.27226983368486563</c:v>
                </c:pt>
                <c:pt idx="98">
                  <c:v>0.26050270957114058</c:v>
                </c:pt>
                <c:pt idx="99">
                  <c:v>0.24865950648373136</c:v>
                </c:pt>
                <c:pt idx="100">
                  <c:v>0.23680457534322211</c:v>
                </c:pt>
                <c:pt idx="101">
                  <c:v>0.22499863912943982</c:v>
                </c:pt>
                <c:pt idx="102">
                  <c:v>0.21329836008602673</c:v>
                </c:pt>
                <c:pt idx="103">
                  <c:v>0.20175599347423653</c:v>
                </c:pt>
                <c:pt idx="104">
                  <c:v>0.19041912750727583</c:v>
                </c:pt>
                <c:pt idx="105">
                  <c:v>0.17933050733160305</c:v>
                </c:pt>
                <c:pt idx="106">
                  <c:v>0.16852793935859181</c:v>
                </c:pt>
                <c:pt idx="107">
                  <c:v>0.15804427091467044</c:v>
                </c:pt>
                <c:pt idx="108">
                  <c:v>0.14790743908643708</c:v>
                </c:pt>
                <c:pt idx="109">
                  <c:v>0.13814058179593591</c:v>
                </c:pt>
                <c:pt idx="110">
                  <c:v>0.12876220354825788</c:v>
                </c:pt>
                <c:pt idx="111">
                  <c:v>0.11978638793929525</c:v>
                </c:pt>
                <c:pt idx="112">
                  <c:v>0.11122304887982307</c:v>
                </c:pt>
                <c:pt idx="113">
                  <c:v>0.103078212562036</c:v>
                </c:pt>
                <c:pt idx="114">
                  <c:v>9.5354322441384975E-2</c:v>
                </c:pt>
                <c:pt idx="115">
                  <c:v>8.8050559902824205E-2</c:v>
                </c:pt>
                <c:pt idx="116">
                  <c:v>8.116317379796778E-2</c:v>
                </c:pt>
                <c:pt idx="117">
                  <c:v>7.4685812649715799E-2</c:v>
                </c:pt>
                <c:pt idx="118">
                  <c:v>6.8609853996108847E-2</c:v>
                </c:pt>
                <c:pt idx="119">
                  <c:v>6.2924726059681954E-2</c:v>
                </c:pt>
                <c:pt idx="120">
                  <c:v>5.7618217658944128E-2</c:v>
                </c:pt>
                <c:pt idx="121">
                  <c:v>5.2676773004109993E-2</c:v>
                </c:pt>
                <c:pt idx="122">
                  <c:v>4.8085768722215941E-2</c:v>
                </c:pt>
                <c:pt idx="123">
                  <c:v>4.3829771122804284E-2</c:v>
                </c:pt>
                <c:pt idx="124">
                  <c:v>3.989277233315406E-2</c:v>
                </c:pt>
                <c:pt idx="125">
                  <c:v>3.6258404493319359E-2</c:v>
                </c:pt>
                <c:pt idx="126">
                  <c:v>3.291013170056635E-2</c:v>
                </c:pt>
                <c:pt idx="127">
                  <c:v>2.9831419827301624E-2</c:v>
                </c:pt>
                <c:pt idx="128">
                  <c:v>2.7005884705591225E-2</c:v>
                </c:pt>
                <c:pt idx="129">
                  <c:v>2.4417419476118914E-2</c:v>
                </c:pt>
                <c:pt idx="130">
                  <c:v>2.2050302142681801E-2</c:v>
                </c:pt>
                <c:pt idx="131">
                  <c:v>1.9889284559030451E-2</c:v>
                </c:pt>
                <c:pt idx="132">
                  <c:v>1.7919664207861331E-2</c:v>
                </c:pt>
                <c:pt idx="133">
                  <c:v>1.6127340217466608E-2</c:v>
                </c:pt>
                <c:pt idx="134">
                  <c:v>1.4498855105670852E-2</c:v>
                </c:pt>
                <c:pt idx="135">
                  <c:v>1.3021423749058899E-2</c:v>
                </c:pt>
                <c:pt idx="136">
                  <c:v>1.1682951053855821E-2</c:v>
                </c:pt>
                <c:pt idx="137">
                  <c:v>1.0472039758657872E-2</c:v>
                </c:pt>
                <c:pt idx="138">
                  <c:v>9.3779897336770356E-3</c:v>
                </c:pt>
                <c:pt idx="139">
                  <c:v>8.3907900609674554E-3</c:v>
                </c:pt>
                <c:pt idx="140">
                  <c:v>7.5011050894843853E-3</c:v>
                </c:pt>
                <c:pt idx="141">
                  <c:v>6.7002555615102146E-3</c:v>
                </c:pt>
                <c:pt idx="142">
                  <c:v>5.9801958061784658E-3</c:v>
                </c:pt>
                <c:pt idx="143">
                  <c:v>5.3334878942437837E-3</c:v>
                </c:pt>
                <c:pt idx="144">
                  <c:v>4.7532735481094143E-3</c:v>
                </c:pt>
                <c:pt idx="145">
                  <c:v>4.2332445042164279E-3</c:v>
                </c:pt>
                <c:pt idx="146">
                  <c:v>3.7676119325931292E-3</c:v>
                </c:pt>
                <c:pt idx="147">
                  <c:v>3.3510754316706131E-3</c:v>
                </c:pt>
                <c:pt idx="148">
                  <c:v>2.9787920360837329E-3</c:v>
                </c:pt>
                <c:pt idx="149">
                  <c:v>2.6463456015155843E-3</c:v>
                </c:pt>
                <c:pt idx="150">
                  <c:v>2.3497168638986999E-3</c:v>
                </c:pt>
                <c:pt idx="151">
                  <c:v>2.0852544104593717E-3</c:v>
                </c:pt>
                <c:pt idx="152">
                  <c:v>1.8496467470340988E-3</c:v>
                </c:pt>
                <c:pt idx="153">
                  <c:v>1.6398955995339658E-3</c:v>
                </c:pt>
                <c:pt idx="154">
                  <c:v>1.4532905470307971E-3</c:v>
                </c:pt>
                <c:pt idx="155">
                  <c:v>1.2873850492758165E-3</c:v>
                </c:pt>
                <c:pt idx="156">
                  <c:v>1.1399739020851968E-3</c:v>
                </c:pt>
                <c:pt idx="157">
                  <c:v>1.0090721294654457E-3</c:v>
                </c:pt>
                <c:pt idx="158">
                  <c:v>8.9289530112843024E-4</c:v>
                </c:pt>
                <c:pt idx="159">
                  <c:v>7.8984124769044975E-4</c:v>
                </c:pt>
                <c:pt idx="160">
                  <c:v>6.9847313290888867E-4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'T Power 1'!$D$34</c:f>
              <c:strCache>
                <c:ptCount val="1"/>
                <c:pt idx="0">
                  <c:v>H1</c:v>
                </c:pt>
              </c:strCache>
            </c:strRef>
          </c:tx>
          <c:marker>
            <c:symbol val="none"/>
          </c:marker>
          <c:xVal>
            <c:numRef>
              <c:f>'T Power 1'!$B$35:$B$195</c:f>
              <c:numCache>
                <c:formatCode>General</c:formatCode>
                <c:ptCount val="161"/>
                <c:pt idx="0">
                  <c:v>43.577577660338285</c:v>
                </c:pt>
                <c:pt idx="1">
                  <c:v>43.682857939584053</c:v>
                </c:pt>
                <c:pt idx="2">
                  <c:v>43.788138218829829</c:v>
                </c:pt>
                <c:pt idx="3">
                  <c:v>43.893418498075597</c:v>
                </c:pt>
                <c:pt idx="4">
                  <c:v>43.998698777321366</c:v>
                </c:pt>
                <c:pt idx="5">
                  <c:v>44.103979056567141</c:v>
                </c:pt>
                <c:pt idx="6">
                  <c:v>44.209259335812909</c:v>
                </c:pt>
                <c:pt idx="7">
                  <c:v>44.314539615058678</c:v>
                </c:pt>
                <c:pt idx="8">
                  <c:v>44.419819894304453</c:v>
                </c:pt>
                <c:pt idx="9">
                  <c:v>44.525100173550221</c:v>
                </c:pt>
                <c:pt idx="10">
                  <c:v>44.630380452795997</c:v>
                </c:pt>
                <c:pt idx="11">
                  <c:v>44.735660732041765</c:v>
                </c:pt>
                <c:pt idx="12">
                  <c:v>44.840941011287534</c:v>
                </c:pt>
                <c:pt idx="13">
                  <c:v>44.946221290533309</c:v>
                </c:pt>
                <c:pt idx="14">
                  <c:v>45.051501569779077</c:v>
                </c:pt>
                <c:pt idx="15">
                  <c:v>45.156781849024853</c:v>
                </c:pt>
                <c:pt idx="16">
                  <c:v>45.262062128270621</c:v>
                </c:pt>
                <c:pt idx="17">
                  <c:v>45.367342407516389</c:v>
                </c:pt>
                <c:pt idx="18">
                  <c:v>45.472622686762165</c:v>
                </c:pt>
                <c:pt idx="19">
                  <c:v>45.577902966007933</c:v>
                </c:pt>
                <c:pt idx="20">
                  <c:v>45.683183245253701</c:v>
                </c:pt>
                <c:pt idx="21">
                  <c:v>45.788463524499477</c:v>
                </c:pt>
                <c:pt idx="22">
                  <c:v>45.893743803745245</c:v>
                </c:pt>
                <c:pt idx="23">
                  <c:v>45.999024082991021</c:v>
                </c:pt>
                <c:pt idx="24">
                  <c:v>46.104304362236789</c:v>
                </c:pt>
                <c:pt idx="25">
                  <c:v>46.209584641482564</c:v>
                </c:pt>
                <c:pt idx="26">
                  <c:v>46.314864920728333</c:v>
                </c:pt>
                <c:pt idx="27">
                  <c:v>46.420145199974101</c:v>
                </c:pt>
                <c:pt idx="28">
                  <c:v>46.525425479219876</c:v>
                </c:pt>
                <c:pt idx="29">
                  <c:v>46.630705758465645</c:v>
                </c:pt>
                <c:pt idx="30">
                  <c:v>46.735986037711413</c:v>
                </c:pt>
                <c:pt idx="31">
                  <c:v>46.841266316957189</c:v>
                </c:pt>
                <c:pt idx="32">
                  <c:v>46.946546596202957</c:v>
                </c:pt>
                <c:pt idx="33">
                  <c:v>47.051826875448725</c:v>
                </c:pt>
                <c:pt idx="34">
                  <c:v>47.157107154694501</c:v>
                </c:pt>
                <c:pt idx="35">
                  <c:v>47.262387433940269</c:v>
                </c:pt>
                <c:pt idx="36">
                  <c:v>47.367667713186044</c:v>
                </c:pt>
                <c:pt idx="37">
                  <c:v>47.472947992431813</c:v>
                </c:pt>
                <c:pt idx="38">
                  <c:v>47.578228271677588</c:v>
                </c:pt>
                <c:pt idx="39">
                  <c:v>47.683508550923356</c:v>
                </c:pt>
                <c:pt idx="40">
                  <c:v>47.788788830169125</c:v>
                </c:pt>
                <c:pt idx="41">
                  <c:v>47.8940691094149</c:v>
                </c:pt>
                <c:pt idx="42">
                  <c:v>47.999349388660669</c:v>
                </c:pt>
                <c:pt idx="43">
                  <c:v>48.104629667906444</c:v>
                </c:pt>
                <c:pt idx="44">
                  <c:v>48.209909947152212</c:v>
                </c:pt>
                <c:pt idx="45">
                  <c:v>48.315190226397988</c:v>
                </c:pt>
                <c:pt idx="46">
                  <c:v>48.420470505643756</c:v>
                </c:pt>
                <c:pt idx="47">
                  <c:v>48.525750784889524</c:v>
                </c:pt>
                <c:pt idx="48">
                  <c:v>48.6310310641353</c:v>
                </c:pt>
                <c:pt idx="49">
                  <c:v>48.736311343381068</c:v>
                </c:pt>
                <c:pt idx="50">
                  <c:v>48.841591622626844</c:v>
                </c:pt>
                <c:pt idx="51">
                  <c:v>48.946871901872612</c:v>
                </c:pt>
                <c:pt idx="52">
                  <c:v>49.052152181118387</c:v>
                </c:pt>
                <c:pt idx="53">
                  <c:v>49.157432460364156</c:v>
                </c:pt>
                <c:pt idx="54">
                  <c:v>49.262712739609931</c:v>
                </c:pt>
                <c:pt idx="55">
                  <c:v>49.367993018855699</c:v>
                </c:pt>
                <c:pt idx="56">
                  <c:v>49.473273298101475</c:v>
                </c:pt>
                <c:pt idx="57">
                  <c:v>49.578553577347243</c:v>
                </c:pt>
                <c:pt idx="58">
                  <c:v>49.683833856593012</c:v>
                </c:pt>
                <c:pt idx="59">
                  <c:v>49.789114135838787</c:v>
                </c:pt>
                <c:pt idx="60">
                  <c:v>49.894394415084555</c:v>
                </c:pt>
                <c:pt idx="61">
                  <c:v>49.999674694330331</c:v>
                </c:pt>
                <c:pt idx="62">
                  <c:v>50.104954973576099</c:v>
                </c:pt>
                <c:pt idx="63">
                  <c:v>50.210235252821874</c:v>
                </c:pt>
                <c:pt idx="64">
                  <c:v>50.315515532067643</c:v>
                </c:pt>
                <c:pt idx="65">
                  <c:v>50.420795811313418</c:v>
                </c:pt>
                <c:pt idx="66">
                  <c:v>50.526076090559187</c:v>
                </c:pt>
                <c:pt idx="67">
                  <c:v>50.631356369804962</c:v>
                </c:pt>
                <c:pt idx="68">
                  <c:v>50.73663664905073</c:v>
                </c:pt>
                <c:pt idx="69">
                  <c:v>50.841916928296499</c:v>
                </c:pt>
                <c:pt idx="70">
                  <c:v>50.947197207542274</c:v>
                </c:pt>
                <c:pt idx="71">
                  <c:v>51.052477486788042</c:v>
                </c:pt>
                <c:pt idx="72">
                  <c:v>51.157757766033818</c:v>
                </c:pt>
                <c:pt idx="73">
                  <c:v>51.263038045279586</c:v>
                </c:pt>
                <c:pt idx="74">
                  <c:v>51.368318324525362</c:v>
                </c:pt>
                <c:pt idx="75">
                  <c:v>51.47359860377113</c:v>
                </c:pt>
                <c:pt idx="76">
                  <c:v>51.578878883016905</c:v>
                </c:pt>
                <c:pt idx="77">
                  <c:v>51.684159162262674</c:v>
                </c:pt>
                <c:pt idx="78">
                  <c:v>51.789439441508442</c:v>
                </c:pt>
                <c:pt idx="79">
                  <c:v>51.894719720754217</c:v>
                </c:pt>
                <c:pt idx="80">
                  <c:v>51.999999999999986</c:v>
                </c:pt>
                <c:pt idx="81">
                  <c:v>52.105280279245761</c:v>
                </c:pt>
                <c:pt idx="82">
                  <c:v>52.21056055849153</c:v>
                </c:pt>
                <c:pt idx="83">
                  <c:v>52.315840837737305</c:v>
                </c:pt>
                <c:pt idx="84">
                  <c:v>52.421121116983073</c:v>
                </c:pt>
                <c:pt idx="85">
                  <c:v>52.526401396228842</c:v>
                </c:pt>
                <c:pt idx="86">
                  <c:v>52.631681675474617</c:v>
                </c:pt>
                <c:pt idx="87">
                  <c:v>52.736961954720385</c:v>
                </c:pt>
                <c:pt idx="88">
                  <c:v>52.842242233966161</c:v>
                </c:pt>
                <c:pt idx="89">
                  <c:v>52.947522513211929</c:v>
                </c:pt>
                <c:pt idx="90">
                  <c:v>53.052802792457705</c:v>
                </c:pt>
                <c:pt idx="91">
                  <c:v>53.158083071703473</c:v>
                </c:pt>
                <c:pt idx="92">
                  <c:v>53.263363350949248</c:v>
                </c:pt>
                <c:pt idx="93">
                  <c:v>53.368643630195017</c:v>
                </c:pt>
                <c:pt idx="94">
                  <c:v>53.473923909440785</c:v>
                </c:pt>
                <c:pt idx="95">
                  <c:v>53.57920418868656</c:v>
                </c:pt>
                <c:pt idx="96">
                  <c:v>53.684484467932329</c:v>
                </c:pt>
                <c:pt idx="97">
                  <c:v>53.789764747178104</c:v>
                </c:pt>
                <c:pt idx="98">
                  <c:v>53.895045026423873</c:v>
                </c:pt>
                <c:pt idx="99">
                  <c:v>54.000325305669648</c:v>
                </c:pt>
                <c:pt idx="100">
                  <c:v>54.105605584915416</c:v>
                </c:pt>
                <c:pt idx="101">
                  <c:v>54.210885864161192</c:v>
                </c:pt>
                <c:pt idx="102">
                  <c:v>54.31616614340696</c:v>
                </c:pt>
                <c:pt idx="103">
                  <c:v>54.421446422652735</c:v>
                </c:pt>
                <c:pt idx="104">
                  <c:v>54.526726701898504</c:v>
                </c:pt>
                <c:pt idx="105">
                  <c:v>54.632006981144272</c:v>
                </c:pt>
                <c:pt idx="106">
                  <c:v>54.737287260390048</c:v>
                </c:pt>
                <c:pt idx="107">
                  <c:v>54.842567539635816</c:v>
                </c:pt>
                <c:pt idx="108">
                  <c:v>54.947847818881591</c:v>
                </c:pt>
                <c:pt idx="109">
                  <c:v>55.05312809812736</c:v>
                </c:pt>
                <c:pt idx="110">
                  <c:v>55.158408377373135</c:v>
                </c:pt>
                <c:pt idx="111">
                  <c:v>55.263688656618903</c:v>
                </c:pt>
                <c:pt idx="112">
                  <c:v>55.368968935864679</c:v>
                </c:pt>
                <c:pt idx="113">
                  <c:v>55.474249215110447</c:v>
                </c:pt>
                <c:pt idx="114">
                  <c:v>55.579529494356223</c:v>
                </c:pt>
                <c:pt idx="115">
                  <c:v>55.684809773601991</c:v>
                </c:pt>
                <c:pt idx="116">
                  <c:v>55.790090052847759</c:v>
                </c:pt>
                <c:pt idx="117">
                  <c:v>55.895370332093535</c:v>
                </c:pt>
                <c:pt idx="118">
                  <c:v>56.000650611339303</c:v>
                </c:pt>
                <c:pt idx="119">
                  <c:v>56.105930890585078</c:v>
                </c:pt>
                <c:pt idx="120">
                  <c:v>56.211211169830847</c:v>
                </c:pt>
                <c:pt idx="121">
                  <c:v>56.316491449076622</c:v>
                </c:pt>
                <c:pt idx="122">
                  <c:v>56.421771728322391</c:v>
                </c:pt>
                <c:pt idx="123">
                  <c:v>56.527052007568159</c:v>
                </c:pt>
                <c:pt idx="124">
                  <c:v>56.632332286813934</c:v>
                </c:pt>
                <c:pt idx="125">
                  <c:v>56.737612566059703</c:v>
                </c:pt>
                <c:pt idx="126">
                  <c:v>56.842892845305478</c:v>
                </c:pt>
                <c:pt idx="127">
                  <c:v>56.948173124551246</c:v>
                </c:pt>
                <c:pt idx="128">
                  <c:v>57.053453403797015</c:v>
                </c:pt>
                <c:pt idx="129">
                  <c:v>57.15873368304279</c:v>
                </c:pt>
                <c:pt idx="130">
                  <c:v>57.264013962288558</c:v>
                </c:pt>
                <c:pt idx="131">
                  <c:v>57.369294241534334</c:v>
                </c:pt>
                <c:pt idx="132">
                  <c:v>57.474574520780102</c:v>
                </c:pt>
                <c:pt idx="133">
                  <c:v>57.579854800025871</c:v>
                </c:pt>
                <c:pt idx="134">
                  <c:v>57.685135079271646</c:v>
                </c:pt>
                <c:pt idx="135">
                  <c:v>57.790415358517414</c:v>
                </c:pt>
                <c:pt idx="136">
                  <c:v>57.895695637763183</c:v>
                </c:pt>
                <c:pt idx="137">
                  <c:v>58.000975917008958</c:v>
                </c:pt>
                <c:pt idx="138">
                  <c:v>58.106256196254726</c:v>
                </c:pt>
                <c:pt idx="139">
                  <c:v>58.211536475500502</c:v>
                </c:pt>
                <c:pt idx="140">
                  <c:v>58.31681675474627</c:v>
                </c:pt>
                <c:pt idx="141">
                  <c:v>58.422097033992046</c:v>
                </c:pt>
                <c:pt idx="142">
                  <c:v>58.527377313237814</c:v>
                </c:pt>
                <c:pt idx="143">
                  <c:v>58.632657592483582</c:v>
                </c:pt>
                <c:pt idx="144">
                  <c:v>58.737937871729358</c:v>
                </c:pt>
                <c:pt idx="145">
                  <c:v>58.843218150975126</c:v>
                </c:pt>
                <c:pt idx="146">
                  <c:v>58.948498430220894</c:v>
                </c:pt>
                <c:pt idx="147">
                  <c:v>59.05377870946667</c:v>
                </c:pt>
                <c:pt idx="148">
                  <c:v>59.159058988712438</c:v>
                </c:pt>
                <c:pt idx="149">
                  <c:v>59.264339267958206</c:v>
                </c:pt>
                <c:pt idx="150">
                  <c:v>59.369619547203982</c:v>
                </c:pt>
                <c:pt idx="151">
                  <c:v>59.47489982644975</c:v>
                </c:pt>
                <c:pt idx="152">
                  <c:v>59.580180105695526</c:v>
                </c:pt>
                <c:pt idx="153">
                  <c:v>59.685460384941294</c:v>
                </c:pt>
                <c:pt idx="154">
                  <c:v>59.790740664187069</c:v>
                </c:pt>
                <c:pt idx="155">
                  <c:v>59.896020943432838</c:v>
                </c:pt>
                <c:pt idx="156">
                  <c:v>60.001301222678606</c:v>
                </c:pt>
                <c:pt idx="157">
                  <c:v>60.106581501924381</c:v>
                </c:pt>
                <c:pt idx="158">
                  <c:v>60.21186178117015</c:v>
                </c:pt>
                <c:pt idx="159">
                  <c:v>60.317142060415918</c:v>
                </c:pt>
                <c:pt idx="160">
                  <c:v>60.422422339661694</c:v>
                </c:pt>
              </c:numCache>
            </c:numRef>
          </c:xVal>
          <c:yVal>
            <c:numRef>
              <c:f>'T Power 1'!$D$35:$D$195</c:f>
              <c:numCache>
                <c:formatCode>General</c:formatCode>
                <c:ptCount val="161"/>
                <c:pt idx="11">
                  <c:v>6.9847313290886926E-4</c:v>
                </c:pt>
                <c:pt idx="12">
                  <c:v>7.8984124769042709E-4</c:v>
                </c:pt>
                <c:pt idx="13">
                  <c:v>8.9289530112840465E-4</c:v>
                </c:pt>
                <c:pt idx="14">
                  <c:v>1.009072129465419E-3</c:v>
                </c:pt>
                <c:pt idx="15">
                  <c:v>1.1399739020851629E-3</c:v>
                </c:pt>
                <c:pt idx="16">
                  <c:v>1.2873850492757806E-3</c:v>
                </c:pt>
                <c:pt idx="17">
                  <c:v>1.4532905470307582E-3</c:v>
                </c:pt>
                <c:pt idx="18">
                  <c:v>1.6398955995339201E-3</c:v>
                </c:pt>
                <c:pt idx="19">
                  <c:v>1.8496467470340457E-3</c:v>
                </c:pt>
                <c:pt idx="20">
                  <c:v>2.0852544104593158E-3</c:v>
                </c:pt>
                <c:pt idx="21">
                  <c:v>2.3497168638986388E-3</c:v>
                </c:pt>
                <c:pt idx="22">
                  <c:v>2.6463456015155106E-3</c:v>
                </c:pt>
                <c:pt idx="23">
                  <c:v>2.9787920360836552E-3</c:v>
                </c:pt>
                <c:pt idx="24">
                  <c:v>3.3510754316705203E-3</c:v>
                </c:pt>
                <c:pt idx="25">
                  <c:v>3.7676119325930216E-3</c:v>
                </c:pt>
                <c:pt idx="26">
                  <c:v>4.2332445042163065E-3</c:v>
                </c:pt>
                <c:pt idx="27">
                  <c:v>4.7532735481092868E-3</c:v>
                </c:pt>
                <c:pt idx="28">
                  <c:v>5.3334878942436457E-3</c:v>
                </c:pt>
                <c:pt idx="29">
                  <c:v>5.9801958061783105E-3</c:v>
                </c:pt>
                <c:pt idx="30">
                  <c:v>6.7002555615100464E-3</c:v>
                </c:pt>
                <c:pt idx="31">
                  <c:v>7.5011050894841901E-3</c:v>
                </c:pt>
                <c:pt idx="32">
                  <c:v>8.3907900609672421E-3</c:v>
                </c:pt>
                <c:pt idx="33">
                  <c:v>9.3779897336767962E-3</c:v>
                </c:pt>
                <c:pt idx="34">
                  <c:v>1.047203975865761E-2</c:v>
                </c:pt>
                <c:pt idx="35">
                  <c:v>1.1682951053855523E-2</c:v>
                </c:pt>
                <c:pt idx="36">
                  <c:v>1.3021423749058569E-2</c:v>
                </c:pt>
                <c:pt idx="37">
                  <c:v>1.4498855105670489E-2</c:v>
                </c:pt>
                <c:pt idx="38">
                  <c:v>1.6127340217466212E-2</c:v>
                </c:pt>
                <c:pt idx="39">
                  <c:v>1.7919664207860907E-2</c:v>
                </c:pt>
                <c:pt idx="40">
                  <c:v>1.9889284559029965E-2</c:v>
                </c:pt>
                <c:pt idx="41">
                  <c:v>2.2050302142681284E-2</c:v>
                </c:pt>
                <c:pt idx="42">
                  <c:v>2.4417419476118345E-2</c:v>
                </c:pt>
                <c:pt idx="43">
                  <c:v>2.700588470559059E-2</c:v>
                </c:pt>
                <c:pt idx="44">
                  <c:v>2.9831419827300948E-2</c:v>
                </c:pt>
                <c:pt idx="45">
                  <c:v>3.2910131700565608E-2</c:v>
                </c:pt>
                <c:pt idx="46">
                  <c:v>3.6258404493318533E-2</c:v>
                </c:pt>
                <c:pt idx="47">
                  <c:v>3.9892772333153199E-2</c:v>
                </c:pt>
                <c:pt idx="48">
                  <c:v>4.382977112280334E-2</c:v>
                </c:pt>
                <c:pt idx="49">
                  <c:v>4.8085768722214935E-2</c:v>
                </c:pt>
                <c:pt idx="50">
                  <c:v>5.2676773004108904E-2</c:v>
                </c:pt>
                <c:pt idx="51">
                  <c:v>5.7618217658942907E-2</c:v>
                </c:pt>
                <c:pt idx="52">
                  <c:v>6.2924726059680677E-2</c:v>
                </c:pt>
                <c:pt idx="53">
                  <c:v>6.8609853996107487E-2</c:v>
                </c:pt>
                <c:pt idx="54">
                  <c:v>7.4685812649714314E-2</c:v>
                </c:pt>
                <c:pt idx="55">
                  <c:v>8.1163173797966212E-2</c:v>
                </c:pt>
                <c:pt idx="56">
                  <c:v>8.8050559902822512E-2</c:v>
                </c:pt>
                <c:pt idx="57">
                  <c:v>9.5354322441383171E-2</c:v>
                </c:pt>
                <c:pt idx="58">
                  <c:v>0.10307821256203414</c:v>
                </c:pt>
                <c:pt idx="59">
                  <c:v>0.1112230488798211</c:v>
                </c:pt>
                <c:pt idx="60">
                  <c:v>0.11978638793929315</c:v>
                </c:pt>
                <c:pt idx="61">
                  <c:v>0.12876220354825577</c:v>
                </c:pt>
                <c:pt idx="62">
                  <c:v>0.13814058179593361</c:v>
                </c:pt>
                <c:pt idx="63">
                  <c:v>0.14790743908643475</c:v>
                </c:pt>
                <c:pt idx="64">
                  <c:v>0.15804427091466802</c:v>
                </c:pt>
                <c:pt idx="65">
                  <c:v>0.16852793935858928</c:v>
                </c:pt>
                <c:pt idx="66">
                  <c:v>0.17933050733160047</c:v>
                </c:pt>
                <c:pt idx="67">
                  <c:v>0.19041912750727322</c:v>
                </c:pt>
                <c:pt idx="68">
                  <c:v>0.20175599347423381</c:v>
                </c:pt>
                <c:pt idx="69">
                  <c:v>0.21329836008602401</c:v>
                </c:pt>
                <c:pt idx="70">
                  <c:v>0.22499863912943704</c:v>
                </c:pt>
                <c:pt idx="71">
                  <c:v>0.23680457534321936</c:v>
                </c:pt>
                <c:pt idx="72">
                  <c:v>0.24865950648372862</c:v>
                </c:pt>
                <c:pt idx="73">
                  <c:v>0.2605027095711378</c:v>
                </c:pt>
                <c:pt idx="74">
                  <c:v>0.27226983368486285</c:v>
                </c:pt>
                <c:pt idx="75">
                  <c:v>0.28389341774567617</c:v>
                </c:pt>
                <c:pt idx="76">
                  <c:v>0.29530348966950626</c:v>
                </c:pt>
                <c:pt idx="77">
                  <c:v>0.30642824115777911</c:v>
                </c:pt>
                <c:pt idx="78">
                  <c:v>0.31719477026207782</c:v>
                </c:pt>
                <c:pt idx="79">
                  <c:v>0.32752988179298531</c:v>
                </c:pt>
                <c:pt idx="80">
                  <c:v>0.33736093370341957</c:v>
                </c:pt>
                <c:pt idx="81">
                  <c:v>0.3466167158353175</c:v>
                </c:pt>
                <c:pt idx="82">
                  <c:v>0.35522834594263486</c:v>
                </c:pt>
                <c:pt idx="83">
                  <c:v>0.36313016675558774</c:v>
                </c:pt>
                <c:pt idx="84">
                  <c:v>0.37026062708506108</c:v>
                </c:pt>
                <c:pt idx="85">
                  <c:v>0.37656312962559563</c:v>
                </c:pt>
                <c:pt idx="86">
                  <c:v>0.38198682823059565</c:v>
                </c:pt>
                <c:pt idx="87">
                  <c:v>0.38648735801961398</c:v>
                </c:pt>
                <c:pt idx="88">
                  <c:v>0.39002748273363458</c:v>
                </c:pt>
                <c:pt idx="89">
                  <c:v>0.39257764526209188</c:v>
                </c:pt>
                <c:pt idx="90">
                  <c:v>0.39411640919001467</c:v>
                </c:pt>
                <c:pt idx="91">
                  <c:v>0.39463078150433906</c:v>
                </c:pt>
                <c:pt idx="92">
                  <c:v>0.39411640919001489</c:v>
                </c:pt>
                <c:pt idx="93">
                  <c:v>0.39257764526209232</c:v>
                </c:pt>
                <c:pt idx="94">
                  <c:v>0.39002748273363524</c:v>
                </c:pt>
                <c:pt idx="95">
                  <c:v>0.38648735801961487</c:v>
                </c:pt>
                <c:pt idx="96">
                  <c:v>0.38198682823059676</c:v>
                </c:pt>
                <c:pt idx="97">
                  <c:v>0.37656312962559696</c:v>
                </c:pt>
                <c:pt idx="98">
                  <c:v>0.37026062708506263</c:v>
                </c:pt>
                <c:pt idx="99">
                  <c:v>0.36313016675558951</c:v>
                </c:pt>
                <c:pt idx="100">
                  <c:v>0.3552283459426368</c:v>
                </c:pt>
                <c:pt idx="101">
                  <c:v>0.34661671583531956</c:v>
                </c:pt>
                <c:pt idx="102">
                  <c:v>0.33736093370342191</c:v>
                </c:pt>
                <c:pt idx="103">
                  <c:v>0.32752988179298775</c:v>
                </c:pt>
                <c:pt idx="104">
                  <c:v>0.31719477026208032</c:v>
                </c:pt>
                <c:pt idx="105">
                  <c:v>0.30642824115778167</c:v>
                </c:pt>
                <c:pt idx="106">
                  <c:v>0.29530348966950876</c:v>
                </c:pt>
                <c:pt idx="107">
                  <c:v>0.28389341774567878</c:v>
                </c:pt>
                <c:pt idx="108">
                  <c:v>0.27226983368486563</c:v>
                </c:pt>
                <c:pt idx="109">
                  <c:v>0.26050270957114058</c:v>
                </c:pt>
                <c:pt idx="110">
                  <c:v>0.24865950648373136</c:v>
                </c:pt>
                <c:pt idx="111">
                  <c:v>0.23680457534322211</c:v>
                </c:pt>
                <c:pt idx="112">
                  <c:v>0.22499863912943982</c:v>
                </c:pt>
                <c:pt idx="113">
                  <c:v>0.21329836008602673</c:v>
                </c:pt>
                <c:pt idx="114">
                  <c:v>0.20175599347423653</c:v>
                </c:pt>
                <c:pt idx="115">
                  <c:v>0.19041912750727583</c:v>
                </c:pt>
                <c:pt idx="116">
                  <c:v>0.17933050733160305</c:v>
                </c:pt>
                <c:pt idx="117">
                  <c:v>0.16852793935859181</c:v>
                </c:pt>
                <c:pt idx="118">
                  <c:v>0.15804427091467044</c:v>
                </c:pt>
                <c:pt idx="119">
                  <c:v>0.14790743908643708</c:v>
                </c:pt>
                <c:pt idx="120">
                  <c:v>0.13814058179593591</c:v>
                </c:pt>
                <c:pt idx="121">
                  <c:v>0.12876220354825788</c:v>
                </c:pt>
                <c:pt idx="122">
                  <c:v>0.11978638793929525</c:v>
                </c:pt>
                <c:pt idx="123">
                  <c:v>0.11122304887982307</c:v>
                </c:pt>
                <c:pt idx="124">
                  <c:v>0.103078212562036</c:v>
                </c:pt>
                <c:pt idx="125">
                  <c:v>9.5354322441384975E-2</c:v>
                </c:pt>
                <c:pt idx="126">
                  <c:v>8.8050559902824205E-2</c:v>
                </c:pt>
                <c:pt idx="127">
                  <c:v>8.116317379796778E-2</c:v>
                </c:pt>
                <c:pt idx="128">
                  <c:v>7.4685812649715799E-2</c:v>
                </c:pt>
                <c:pt idx="129">
                  <c:v>6.8609853996108847E-2</c:v>
                </c:pt>
                <c:pt idx="130">
                  <c:v>6.2924726059681954E-2</c:v>
                </c:pt>
                <c:pt idx="131">
                  <c:v>5.7618217658944128E-2</c:v>
                </c:pt>
                <c:pt idx="132">
                  <c:v>5.2676773004109993E-2</c:v>
                </c:pt>
                <c:pt idx="133">
                  <c:v>4.8085768722215941E-2</c:v>
                </c:pt>
                <c:pt idx="134">
                  <c:v>4.3829771122804284E-2</c:v>
                </c:pt>
                <c:pt idx="135">
                  <c:v>3.989277233315406E-2</c:v>
                </c:pt>
                <c:pt idx="136">
                  <c:v>3.6258404493319359E-2</c:v>
                </c:pt>
                <c:pt idx="137">
                  <c:v>3.291013170056635E-2</c:v>
                </c:pt>
                <c:pt idx="138">
                  <c:v>2.9831419827301624E-2</c:v>
                </c:pt>
                <c:pt idx="139">
                  <c:v>2.7005884705591225E-2</c:v>
                </c:pt>
                <c:pt idx="140">
                  <c:v>2.4417419476118914E-2</c:v>
                </c:pt>
                <c:pt idx="141">
                  <c:v>2.2050302142681801E-2</c:v>
                </c:pt>
                <c:pt idx="142">
                  <c:v>1.9889284559030451E-2</c:v>
                </c:pt>
                <c:pt idx="143">
                  <c:v>1.7919664207861331E-2</c:v>
                </c:pt>
                <c:pt idx="144">
                  <c:v>1.6127340217466608E-2</c:v>
                </c:pt>
                <c:pt idx="145">
                  <c:v>1.4498855105670852E-2</c:v>
                </c:pt>
                <c:pt idx="146">
                  <c:v>1.3021423749058899E-2</c:v>
                </c:pt>
                <c:pt idx="147">
                  <c:v>1.1682951053855821E-2</c:v>
                </c:pt>
                <c:pt idx="148">
                  <c:v>1.0472039758657872E-2</c:v>
                </c:pt>
                <c:pt idx="149">
                  <c:v>9.3779897336770356E-3</c:v>
                </c:pt>
                <c:pt idx="150">
                  <c:v>8.3907900609674554E-3</c:v>
                </c:pt>
                <c:pt idx="151">
                  <c:v>7.5011050894843853E-3</c:v>
                </c:pt>
                <c:pt idx="152">
                  <c:v>6.7002555615102146E-3</c:v>
                </c:pt>
                <c:pt idx="153">
                  <c:v>5.9801958061784658E-3</c:v>
                </c:pt>
                <c:pt idx="154">
                  <c:v>5.3334878942437837E-3</c:v>
                </c:pt>
                <c:pt idx="155">
                  <c:v>4.7532735481094143E-3</c:v>
                </c:pt>
                <c:pt idx="156">
                  <c:v>4.2332445042164279E-3</c:v>
                </c:pt>
                <c:pt idx="157">
                  <c:v>3.7676119325931292E-3</c:v>
                </c:pt>
                <c:pt idx="158">
                  <c:v>3.3510754316706131E-3</c:v>
                </c:pt>
                <c:pt idx="159">
                  <c:v>2.9787920360837329E-3</c:v>
                </c:pt>
                <c:pt idx="160">
                  <c:v>2.6463456015155843E-3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801752"/>
        <c:axId val="459802536"/>
      </c:scatterChart>
      <c:valAx>
        <c:axId val="459801752"/>
        <c:scaling>
          <c:orientation val="minMax"/>
          <c:max val="62"/>
          <c:min val="42"/>
        </c:scaling>
        <c:delete val="0"/>
        <c:axPos val="b"/>
        <c:numFmt formatCode="General" sourceLinked="1"/>
        <c:majorTickMark val="out"/>
        <c:minorTickMark val="none"/>
        <c:tickLblPos val="nextTo"/>
        <c:crossAx val="459802536"/>
        <c:crosses val="autoZero"/>
        <c:crossBetween val="midCat"/>
      </c:valAx>
      <c:valAx>
        <c:axId val="459802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8017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 Sample T 1'!$K$6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'2 Sample T 1'!$L$5:$M$5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1'!$L$6:$M$6</c:f>
              <c:numCache>
                <c:formatCode>General</c:formatCode>
                <c:ptCount val="2"/>
                <c:pt idx="0">
                  <c:v>9</c:v>
                </c:pt>
                <c:pt idx="1">
                  <c:v>4</c:v>
                </c:pt>
              </c:numCache>
            </c:numRef>
          </c:val>
        </c:ser>
        <c:ser>
          <c:idx val="1"/>
          <c:order val="1"/>
          <c:tx>
            <c:strRef>
              <c:f>'2 Sample T 1'!$K$7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'2 Sample T 1'!$L$5:$M$5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1'!$L$7:$M$7</c:f>
              <c:numCache>
                <c:formatCode>General</c:formatCode>
                <c:ptCount val="2"/>
                <c:pt idx="0">
                  <c:v>3.5</c:v>
                </c:pt>
                <c:pt idx="1">
                  <c:v>4.5</c:v>
                </c:pt>
              </c:numCache>
            </c:numRef>
          </c:val>
        </c:ser>
        <c:ser>
          <c:idx val="2"/>
          <c:order val="2"/>
          <c:tx>
            <c:strRef>
              <c:f>'2 Sample T 1'!$K$8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'2 Sample T 1'!$L$5:$M$5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1'!$L$8:$M$8</c:f>
              <c:numCache>
                <c:formatCode>General</c:formatCode>
                <c:ptCount val="2"/>
                <c:pt idx="0">
                  <c:v>2.5</c:v>
                </c:pt>
                <c:pt idx="1">
                  <c:v>3</c:v>
                </c:pt>
              </c:numCache>
            </c:numRef>
          </c:val>
        </c:ser>
        <c:ser>
          <c:idx val="3"/>
          <c:order val="3"/>
          <c:tx>
            <c:strRef>
              <c:f>'2 Sample T 1'!$K$9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'2 Sample T 1'!$L$10:$M$10</c:f>
                <c:numCache>
                  <c:formatCode>General</c:formatCode>
                  <c:ptCount val="2"/>
                  <c:pt idx="0">
                    <c:v>2.5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'2 Sample T 1'!$L$5:$M$5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1'!$L$9:$M$9</c:f>
              <c:numCache>
                <c:formatCode>General</c:formatCode>
                <c:ptCount val="2"/>
                <c:pt idx="0">
                  <c:v>2.5</c:v>
                </c:pt>
                <c:pt idx="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97048"/>
        <c:axId val="45980332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'2 Sample T 1'!$L$11:$M$11</c:f>
              <c:numCache>
                <c:formatCode>General</c:formatCode>
                <c:ptCount val="2"/>
                <c:pt idx="0">
                  <c:v>14.909090909090908</c:v>
                </c:pt>
                <c:pt idx="1">
                  <c:v>11.1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'2 Sample T 1'!$B$14</c:f>
              <c:numCache>
                <c:formatCode>General</c:formatCode>
                <c:ptCount val="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97048"/>
        <c:axId val="459803320"/>
      </c:scatterChart>
      <c:catAx>
        <c:axId val="459797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803320"/>
        <c:crosses val="autoZero"/>
        <c:auto val="1"/>
        <c:lblAlgn val="ctr"/>
        <c:lblOffset val="100"/>
        <c:noMultiLvlLbl val="0"/>
      </c:catAx>
      <c:valAx>
        <c:axId val="459803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97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Control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'2 Sample T 2'!$N$4:$N$9</c:f>
              <c:strCache>
                <c:ptCount val="6"/>
                <c:pt idx="0">
                  <c:v>10</c:v>
                </c:pt>
                <c:pt idx="1">
                  <c:v>13</c:v>
                </c:pt>
                <c:pt idx="2">
                  <c:v>16</c:v>
                </c:pt>
                <c:pt idx="3">
                  <c:v>19</c:v>
                </c:pt>
                <c:pt idx="4">
                  <c:v>22</c:v>
                </c:pt>
                <c:pt idx="5">
                  <c:v>More</c:v>
                </c:pt>
              </c:strCache>
            </c:strRef>
          </c:cat>
          <c:val>
            <c:numRef>
              <c:f>'2 Sample T 2'!$O$4:$O$9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9803712"/>
        <c:axId val="459773136"/>
      </c:barChart>
      <c:catAx>
        <c:axId val="45980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Bins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59773136"/>
        <c:crosses val="autoZero"/>
        <c:auto val="1"/>
        <c:lblAlgn val="ctr"/>
        <c:lblOffset val="100"/>
        <c:noMultiLvlLbl val="0"/>
      </c:catAx>
      <c:valAx>
        <c:axId val="4597731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803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Drug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'2 Sample T 2'!$N$16:$N$21</c:f>
              <c:strCache>
                <c:ptCount val="6"/>
                <c:pt idx="0">
                  <c:v>10</c:v>
                </c:pt>
                <c:pt idx="1">
                  <c:v>13</c:v>
                </c:pt>
                <c:pt idx="2">
                  <c:v>16</c:v>
                </c:pt>
                <c:pt idx="3">
                  <c:v>19</c:v>
                </c:pt>
                <c:pt idx="4">
                  <c:v>22</c:v>
                </c:pt>
                <c:pt idx="5">
                  <c:v>More</c:v>
                </c:pt>
              </c:strCache>
            </c:strRef>
          </c:cat>
          <c:val>
            <c:numRef>
              <c:f>'2 Sample T 2'!$O$16:$O$21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9780976"/>
        <c:axId val="459776664"/>
      </c:barChart>
      <c:catAx>
        <c:axId val="459780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Bins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59776664"/>
        <c:crosses val="autoZero"/>
        <c:auto val="1"/>
        <c:lblAlgn val="ctr"/>
        <c:lblOffset val="100"/>
        <c:noMultiLvlLbl val="0"/>
      </c:catAx>
      <c:valAx>
        <c:axId val="4597766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80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 Sample T 3'!$K$6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'2 Sample T 3'!$L$5:$M$5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3'!$L$6:$M$6</c:f>
              <c:numCache>
                <c:formatCode>General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</c:ser>
        <c:ser>
          <c:idx val="1"/>
          <c:order val="1"/>
          <c:tx>
            <c:strRef>
              <c:f>'2 Sample T 3'!$K$7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'2 Sample T 3'!$L$5:$M$5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3'!$L$7:$M$7</c:f>
              <c:numCache>
                <c:formatCode>General</c:formatCode>
                <c:ptCount val="2"/>
                <c:pt idx="0">
                  <c:v>7.75</c:v>
                </c:pt>
                <c:pt idx="1">
                  <c:v>4.5</c:v>
                </c:pt>
              </c:numCache>
            </c:numRef>
          </c:val>
        </c:ser>
        <c:ser>
          <c:idx val="2"/>
          <c:order val="2"/>
          <c:tx>
            <c:strRef>
              <c:f>'2 Sample T 3'!$K$8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'2 Sample T 3'!$L$5:$M$5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3'!$L$8:$M$8</c:f>
              <c:numCache>
                <c:formatCode>General</c:formatCode>
                <c:ptCount val="2"/>
                <c:pt idx="0">
                  <c:v>10.75</c:v>
                </c:pt>
                <c:pt idx="1">
                  <c:v>3</c:v>
                </c:pt>
              </c:numCache>
            </c:numRef>
          </c:val>
        </c:ser>
        <c:ser>
          <c:idx val="3"/>
          <c:order val="3"/>
          <c:tx>
            <c:strRef>
              <c:f>'2 Sample T 3'!$K$9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'2 Sample T 3'!$L$10:$M$10</c:f>
                <c:numCache>
                  <c:formatCode>General</c:formatCode>
                  <c:ptCount val="2"/>
                  <c:pt idx="0">
                    <c:v>12.75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'2 Sample T 3'!$L$5:$M$5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'2 Sample T 3'!$L$9:$M$9</c:f>
              <c:numCache>
                <c:formatCode>General</c:formatCode>
                <c:ptCount val="2"/>
                <c:pt idx="0">
                  <c:v>6.75</c:v>
                </c:pt>
                <c:pt idx="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81368"/>
        <c:axId val="45977823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'2 Sample T 3'!$L$11:$M$11</c:f>
              <c:numCache>
                <c:formatCode>General</c:formatCode>
                <c:ptCount val="2"/>
                <c:pt idx="0">
                  <c:v>19.8</c:v>
                </c:pt>
                <c:pt idx="1">
                  <c:v>11.1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81368"/>
        <c:axId val="459778232"/>
      </c:scatterChart>
      <c:catAx>
        <c:axId val="459781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78232"/>
        <c:crosses val="autoZero"/>
        <c:auto val="1"/>
        <c:lblAlgn val="ctr"/>
        <c:lblOffset val="100"/>
        <c:noMultiLvlLbl val="0"/>
      </c:catAx>
      <c:valAx>
        <c:axId val="459778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81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'2P Sample T 1'!$J$6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'2P Sample T 1'!$K$5</c:f>
              <c:strCache>
                <c:ptCount val="1"/>
                <c:pt idx="0">
                  <c:v>Difference</c:v>
                </c:pt>
              </c:strCache>
            </c:strRef>
          </c:cat>
          <c:val>
            <c:numRef>
              <c:f>'2P Sample T 1'!$K$6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'2P Sample T 1'!$J$7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'2P Sample T 1'!$K$5</c:f>
              <c:strCache>
                <c:ptCount val="1"/>
                <c:pt idx="0">
                  <c:v>Difference</c:v>
                </c:pt>
              </c:strCache>
            </c:strRef>
          </c:cat>
          <c:val>
            <c:numRef>
              <c:f>'2P Sample T 1'!$K$7</c:f>
              <c:numCache>
                <c:formatCode>General</c:formatCode>
                <c:ptCount val="1"/>
                <c:pt idx="0">
                  <c:v>5.5</c:v>
                </c:pt>
              </c:numCache>
            </c:numRef>
          </c:val>
        </c:ser>
        <c:ser>
          <c:idx val="2"/>
          <c:order val="2"/>
          <c:tx>
            <c:strRef>
              <c:f>'2P Sample T 1'!$J$8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'2P Sample T 1'!$K$5</c:f>
              <c:strCache>
                <c:ptCount val="1"/>
                <c:pt idx="0">
                  <c:v>Difference</c:v>
                </c:pt>
              </c:strCache>
            </c:strRef>
          </c:cat>
          <c:val>
            <c:numRef>
              <c:f>'2P Sample T 1'!$K$8</c:f>
              <c:numCache>
                <c:formatCode>General</c:formatCode>
                <c:ptCount val="1"/>
                <c:pt idx="0">
                  <c:v>4.5</c:v>
                </c:pt>
              </c:numCache>
            </c:numRef>
          </c:val>
        </c:ser>
        <c:ser>
          <c:idx val="3"/>
          <c:order val="3"/>
          <c:tx>
            <c:strRef>
              <c:f>'2P Sample T 1'!$J$9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'2P Sample T 1'!$K$10</c:f>
                <c:numCache>
                  <c:formatCode>General</c:formatCode>
                  <c:ptCount val="1"/>
                  <c:pt idx="0">
                    <c:v>8.5</c:v>
                  </c:pt>
                </c:numCache>
              </c:numRef>
            </c:plus>
          </c:errBars>
          <c:cat>
            <c:strRef>
              <c:f>'2P Sample T 1'!$K$5</c:f>
              <c:strCache>
                <c:ptCount val="1"/>
                <c:pt idx="0">
                  <c:v>Difference</c:v>
                </c:pt>
              </c:strCache>
            </c:strRef>
          </c:cat>
          <c:val>
            <c:numRef>
              <c:f>'2P Sample T 1'!$K$9</c:f>
              <c:numCache>
                <c:formatCode>General</c:formatCode>
                <c:ptCount val="1"/>
                <c:pt idx="0">
                  <c:v>3.5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75880"/>
        <c:axId val="45977627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'2P Sample T 1'!$K$11</c:f>
              <c:numCache>
                <c:formatCode>General</c:formatCode>
                <c:ptCount val="1"/>
                <c:pt idx="0">
                  <c:v>10.933333333333334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75880"/>
        <c:axId val="459776272"/>
      </c:scatterChart>
      <c:catAx>
        <c:axId val="459775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76272"/>
        <c:crosses val="autoZero"/>
        <c:auto val="1"/>
        <c:lblAlgn val="ctr"/>
        <c:lblOffset val="100"/>
        <c:noMultiLvlLbl val="0"/>
      </c:catAx>
      <c:valAx>
        <c:axId val="459776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75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'Trim T'!$AF$7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5B9BD5"/>
                  </a:solidFill>
                </a14:hiddenFill>
              </a:ext>
            </a:extLst>
          </c:spPr>
          <c:invertIfNegative val="0"/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T'!$AG$7:$AH$7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'Trim T'!$AF$8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T'!$AG$8:$AH$8</c:f>
              <c:numCache>
                <c:formatCode>General</c:formatCode>
                <c:ptCount val="2"/>
                <c:pt idx="0">
                  <c:v>4</c:v>
                </c:pt>
                <c:pt idx="1">
                  <c:v>8.5</c:v>
                </c:pt>
              </c:numCache>
            </c:numRef>
          </c:val>
        </c:ser>
        <c:ser>
          <c:idx val="2"/>
          <c:order val="2"/>
          <c:tx>
            <c:strRef>
              <c:f>'Trim T'!$AF$9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T'!$AG$9:$AH$9</c:f>
              <c:numCache>
                <c:formatCode>General</c:formatCode>
                <c:ptCount val="2"/>
                <c:pt idx="0">
                  <c:v>3</c:v>
                </c:pt>
                <c:pt idx="1">
                  <c:v>8</c:v>
                </c:pt>
              </c:numCache>
            </c:numRef>
          </c:val>
        </c:ser>
        <c:ser>
          <c:idx val="3"/>
          <c:order val="3"/>
          <c:tx>
            <c:strRef>
              <c:f>'Trim T'!$AF$10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'Trim T'!$AG$11:$AH$11</c:f>
                <c:numCache>
                  <c:formatCode>General</c:formatCode>
                  <c:ptCount val="2"/>
                  <c:pt idx="0">
                    <c:v>16</c:v>
                  </c:pt>
                  <c:pt idx="1">
                    <c:v>11.5</c:v>
                  </c:pt>
                </c:numCache>
              </c:numRef>
            </c:plus>
          </c:errBars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T'!$AG$10:$AH$10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82544"/>
        <c:axId val="459777840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'Trim T'!$AG$12:$AH$12</c:f>
              <c:numCache>
                <c:formatCode>General</c:formatCode>
                <c:ptCount val="2"/>
                <c:pt idx="0">
                  <c:v>14.272727272727273</c:v>
                </c:pt>
                <c:pt idx="1">
                  <c:v>17.899999999999999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'Trim T'!$A$15</c:f>
              <c:numCache>
                <c:formatCode>General</c:formatCode>
                <c:ptCount val="1"/>
                <c:pt idx="0">
                  <c:v>40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82544"/>
        <c:axId val="459777840"/>
      </c:scatterChart>
      <c:catAx>
        <c:axId val="45978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77840"/>
        <c:crosses val="autoZero"/>
        <c:auto val="1"/>
        <c:lblAlgn val="ctr"/>
        <c:lblOffset val="100"/>
        <c:noMultiLvlLbl val="0"/>
      </c:catAx>
      <c:valAx>
        <c:axId val="459777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82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Growth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 Chart'!$J$4:$J$14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'Step Chart'!$K$4:$K$14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312552"/>
        <c:axId val="684306672"/>
      </c:scatterChart>
      <c:valAx>
        <c:axId val="684312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306672"/>
        <c:crosses val="autoZero"/>
        <c:crossBetween val="midCat"/>
      </c:valAx>
      <c:valAx>
        <c:axId val="68430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Revenues ($000)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312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New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'Trim T'!$AO$11:$AO$21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'Trim T'!$AP$11:$AP$21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79800"/>
        <c:axId val="459777448"/>
      </c:scatterChart>
      <c:valAx>
        <c:axId val="459779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77448"/>
        <c:crosses val="autoZero"/>
        <c:crossBetween val="midCat"/>
      </c:valAx>
      <c:valAx>
        <c:axId val="4597774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798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Old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'Trim T'!$AT$11:$AT$20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'Trim T'!$AU$11:$AU$20</c:f>
              <c:numCache>
                <c:formatCode>General</c:formatCode>
                <c:ptCount val="10"/>
                <c:pt idx="0">
                  <c:v>-1.6448536269514726</c:v>
                </c:pt>
                <c:pt idx="1">
                  <c:v>-1.0364333894937898</c:v>
                </c:pt>
                <c:pt idx="2">
                  <c:v>-0.67448975019608193</c:v>
                </c:pt>
                <c:pt idx="3">
                  <c:v>-0.38532046640756784</c:v>
                </c:pt>
                <c:pt idx="4">
                  <c:v>-0.12566134685507402</c:v>
                </c:pt>
                <c:pt idx="5">
                  <c:v>0.12566134685507416</c:v>
                </c:pt>
                <c:pt idx="6">
                  <c:v>0.38532046640756784</c:v>
                </c:pt>
                <c:pt idx="7">
                  <c:v>0.67448975019608193</c:v>
                </c:pt>
                <c:pt idx="8">
                  <c:v>1.0364333894937898</c:v>
                </c:pt>
                <c:pt idx="9">
                  <c:v>1.6448536269514715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82936"/>
        <c:axId val="459779408"/>
      </c:scatterChart>
      <c:valAx>
        <c:axId val="459782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79408"/>
        <c:crosses val="autoZero"/>
        <c:crossBetween val="midCat"/>
      </c:valAx>
      <c:valAx>
        <c:axId val="4597794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829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Yuen!$AH$6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5B9BD5"/>
                  </a:solidFill>
                </a14:hiddenFill>
              </a:ext>
            </a:extLst>
          </c:spPr>
          <c:invertIfNegative val="0"/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Yuen!$AI$6:$AJ$6</c:f>
              <c:numCache>
                <c:formatCode>General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</c:ser>
        <c:ser>
          <c:idx val="1"/>
          <c:order val="1"/>
          <c:tx>
            <c:strRef>
              <c:f>Yuen!$AH$7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Yuen!$AI$7:$AJ$7</c:f>
              <c:numCache>
                <c:formatCode>General</c:formatCode>
                <c:ptCount val="2"/>
                <c:pt idx="0">
                  <c:v>4</c:v>
                </c:pt>
                <c:pt idx="1">
                  <c:v>4.5</c:v>
                </c:pt>
              </c:numCache>
            </c:numRef>
          </c:val>
        </c:ser>
        <c:ser>
          <c:idx val="2"/>
          <c:order val="2"/>
          <c:tx>
            <c:strRef>
              <c:f>Yuen!$AH$8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Yuen!$AI$8:$AJ$8</c:f>
              <c:numCache>
                <c:formatCode>General</c:formatCode>
                <c:ptCount val="2"/>
                <c:pt idx="0">
                  <c:v>3</c:v>
                </c:pt>
                <c:pt idx="1">
                  <c:v>3</c:v>
                </c:pt>
              </c:numCache>
            </c:numRef>
          </c:val>
        </c:ser>
        <c:ser>
          <c:idx val="3"/>
          <c:order val="3"/>
          <c:tx>
            <c:strRef>
              <c:f>Yuen!$AH$9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Yuen!$AI$10:$AJ$10</c:f>
                <c:numCache>
                  <c:formatCode>General</c:formatCode>
                  <c:ptCount val="2"/>
                  <c:pt idx="0">
                    <c:v>16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Yuen!$AI$9:$AJ$9</c:f>
              <c:numCache>
                <c:formatCode>General</c:formatCode>
                <c:ptCount val="2"/>
                <c:pt idx="0">
                  <c:v>10</c:v>
                </c:pt>
                <c:pt idx="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773920"/>
        <c:axId val="45977431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Yuen!$AI$11:$AJ$11</c:f>
              <c:numCache>
                <c:formatCode>General</c:formatCode>
                <c:ptCount val="2"/>
                <c:pt idx="0">
                  <c:v>14.272727272727273</c:v>
                </c:pt>
                <c:pt idx="1">
                  <c:v>11.1</c:v>
                </c:pt>
              </c:numCache>
            </c:numRef>
          </c:yVal>
          <c:smooth val="0"/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Yuen!$A$15</c:f>
              <c:numCache>
                <c:formatCode>General</c:formatCode>
                <c:ptCount val="1"/>
                <c:pt idx="0">
                  <c:v>40</c:v>
                </c:pt>
              </c:numCache>
            </c:numRef>
          </c:yVal>
          <c:smooth val="0"/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Yuen!$B$15</c:f>
              <c:numCache>
                <c:formatCode>General</c:formatCode>
                <c:ptCount val="1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73920"/>
        <c:axId val="459774312"/>
      </c:scatterChart>
      <c:catAx>
        <c:axId val="45977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59774312"/>
        <c:crosses val="autoZero"/>
        <c:auto val="1"/>
        <c:lblAlgn val="ctr"/>
        <c:lblOffset val="100"/>
        <c:noMultiLvlLbl val="0"/>
      </c:catAx>
      <c:valAx>
        <c:axId val="459774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73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New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Yuen!$AQ$10:$AQ$20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Yuen!$AR$10:$AR$20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83328"/>
        <c:axId val="459783720"/>
      </c:scatterChart>
      <c:valAx>
        <c:axId val="459783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83720"/>
        <c:crosses val="autoZero"/>
        <c:crossBetween val="midCat"/>
      </c:valAx>
      <c:valAx>
        <c:axId val="4597837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833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Old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Yuen!$AV$10:$AV$19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Yuen!$AW$10:$AW$19</c:f>
              <c:numCache>
                <c:formatCode>General</c:formatCode>
                <c:ptCount val="10"/>
                <c:pt idx="0">
                  <c:v>-1.6448536269514726</c:v>
                </c:pt>
                <c:pt idx="1">
                  <c:v>-1.0364333894937898</c:v>
                </c:pt>
                <c:pt idx="2">
                  <c:v>-0.67448975019608193</c:v>
                </c:pt>
                <c:pt idx="3">
                  <c:v>-0.38532046640756784</c:v>
                </c:pt>
                <c:pt idx="4">
                  <c:v>-0.12566134685507402</c:v>
                </c:pt>
                <c:pt idx="5">
                  <c:v>0.12566134685507416</c:v>
                </c:pt>
                <c:pt idx="6">
                  <c:v>0.38532046640756784</c:v>
                </c:pt>
                <c:pt idx="7">
                  <c:v>0.67448975019608193</c:v>
                </c:pt>
                <c:pt idx="8">
                  <c:v>1.0364333894937898</c:v>
                </c:pt>
                <c:pt idx="9">
                  <c:v>1.6448536269514715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9771960"/>
        <c:axId val="459773528"/>
      </c:scatterChart>
      <c:valAx>
        <c:axId val="459771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73528"/>
        <c:crosses val="autoZero"/>
        <c:crossBetween val="midCat"/>
      </c:valAx>
      <c:valAx>
        <c:axId val="459773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597719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Noncentral t pdf (df = 10) 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'NT 1'!$B$7</c:f>
              <c:strCache>
                <c:ptCount val="1"/>
                <c:pt idx="0">
                  <c:v>ncp 0</c:v>
                </c:pt>
              </c:strCache>
            </c:strRef>
          </c:tx>
          <c:marker>
            <c:symbol val="none"/>
          </c:marker>
          <c:cat>
            <c:numRef>
              <c:f>'NT 1'!$A$8:$A$209</c:f>
              <c:numCache>
                <c:formatCode>General</c:formatCode>
                <c:ptCount val="202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-9.7000000000000011</c:v>
                </c:pt>
                <c:pt idx="4">
                  <c:v>-9.6000000000000014</c:v>
                </c:pt>
                <c:pt idx="5">
                  <c:v>-9.5000000000000018</c:v>
                </c:pt>
                <c:pt idx="6">
                  <c:v>-9.4000000000000021</c:v>
                </c:pt>
                <c:pt idx="7">
                  <c:v>-9.3000000000000025</c:v>
                </c:pt>
                <c:pt idx="8">
                  <c:v>-9.2000000000000028</c:v>
                </c:pt>
                <c:pt idx="9">
                  <c:v>-9.1000000000000032</c:v>
                </c:pt>
                <c:pt idx="10">
                  <c:v>-9.0000000000000036</c:v>
                </c:pt>
                <c:pt idx="11">
                  <c:v>-8.9000000000000039</c:v>
                </c:pt>
                <c:pt idx="12">
                  <c:v>-8.8000000000000043</c:v>
                </c:pt>
                <c:pt idx="13">
                  <c:v>-8.7000000000000046</c:v>
                </c:pt>
                <c:pt idx="14">
                  <c:v>-8.600000000000005</c:v>
                </c:pt>
                <c:pt idx="15">
                  <c:v>-8.5000000000000053</c:v>
                </c:pt>
                <c:pt idx="16">
                  <c:v>-8.4000000000000057</c:v>
                </c:pt>
                <c:pt idx="17">
                  <c:v>-8.300000000000006</c:v>
                </c:pt>
                <c:pt idx="18">
                  <c:v>-8.2000000000000064</c:v>
                </c:pt>
                <c:pt idx="19">
                  <c:v>-8.1000000000000068</c:v>
                </c:pt>
                <c:pt idx="20">
                  <c:v>-8.0000000000000071</c:v>
                </c:pt>
                <c:pt idx="21">
                  <c:v>-7.9000000000000075</c:v>
                </c:pt>
                <c:pt idx="22">
                  <c:v>-7.8000000000000078</c:v>
                </c:pt>
                <c:pt idx="23">
                  <c:v>-7.7000000000000082</c:v>
                </c:pt>
                <c:pt idx="24">
                  <c:v>-7.6000000000000085</c:v>
                </c:pt>
                <c:pt idx="25">
                  <c:v>-7.5000000000000089</c:v>
                </c:pt>
                <c:pt idx="26">
                  <c:v>-7.4000000000000092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-7.0000000000000107</c:v>
                </c:pt>
                <c:pt idx="31">
                  <c:v>-6.900000000000011</c:v>
                </c:pt>
                <c:pt idx="32">
                  <c:v>-6.8000000000000114</c:v>
                </c:pt>
                <c:pt idx="33">
                  <c:v>-6.7000000000000117</c:v>
                </c:pt>
                <c:pt idx="34">
                  <c:v>-6.6000000000000121</c:v>
                </c:pt>
                <c:pt idx="35">
                  <c:v>-6.5000000000000124</c:v>
                </c:pt>
                <c:pt idx="36">
                  <c:v>-6.4000000000000128</c:v>
                </c:pt>
                <c:pt idx="37">
                  <c:v>-6.3000000000000131</c:v>
                </c:pt>
                <c:pt idx="38">
                  <c:v>-6.2000000000000135</c:v>
                </c:pt>
                <c:pt idx="39">
                  <c:v>-6.1000000000000139</c:v>
                </c:pt>
                <c:pt idx="40">
                  <c:v>-6.0000000000000142</c:v>
                </c:pt>
                <c:pt idx="41">
                  <c:v>-5.9000000000000146</c:v>
                </c:pt>
                <c:pt idx="42">
                  <c:v>-5.8000000000000149</c:v>
                </c:pt>
                <c:pt idx="43">
                  <c:v>-5.7000000000000153</c:v>
                </c:pt>
                <c:pt idx="44">
                  <c:v>-5.6000000000000156</c:v>
                </c:pt>
                <c:pt idx="45">
                  <c:v>-5.500000000000016</c:v>
                </c:pt>
                <c:pt idx="46">
                  <c:v>-5.4000000000000163</c:v>
                </c:pt>
                <c:pt idx="47">
                  <c:v>-5.3000000000000167</c:v>
                </c:pt>
                <c:pt idx="48">
                  <c:v>-5.2000000000000171</c:v>
                </c:pt>
                <c:pt idx="49">
                  <c:v>-5.1000000000000174</c:v>
                </c:pt>
                <c:pt idx="50">
                  <c:v>-5.0000000000000178</c:v>
                </c:pt>
                <c:pt idx="51">
                  <c:v>-4.9000000000000181</c:v>
                </c:pt>
                <c:pt idx="52">
                  <c:v>-4.8000000000000185</c:v>
                </c:pt>
                <c:pt idx="53">
                  <c:v>-4.7000000000000188</c:v>
                </c:pt>
                <c:pt idx="54">
                  <c:v>-4.6000000000000192</c:v>
                </c:pt>
                <c:pt idx="55">
                  <c:v>-4.5000000000000195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-4.2000000000000206</c:v>
                </c:pt>
                <c:pt idx="59">
                  <c:v>-4.100000000000021</c:v>
                </c:pt>
                <c:pt idx="60">
                  <c:v>-4.0000000000000213</c:v>
                </c:pt>
                <c:pt idx="61">
                  <c:v>-3.9000000000000212</c:v>
                </c:pt>
                <c:pt idx="62">
                  <c:v>-3.8000000000000211</c:v>
                </c:pt>
                <c:pt idx="63">
                  <c:v>-3.700000000000021</c:v>
                </c:pt>
                <c:pt idx="64">
                  <c:v>-3.600000000000021</c:v>
                </c:pt>
                <c:pt idx="65">
                  <c:v>-3.5000000000000209</c:v>
                </c:pt>
                <c:pt idx="66">
                  <c:v>-3.4000000000000208</c:v>
                </c:pt>
                <c:pt idx="67">
                  <c:v>-3.3000000000000207</c:v>
                </c:pt>
                <c:pt idx="68">
                  <c:v>-3.2000000000000206</c:v>
                </c:pt>
                <c:pt idx="69">
                  <c:v>-3.1000000000000205</c:v>
                </c:pt>
                <c:pt idx="70">
                  <c:v>-3.0000000000000204</c:v>
                </c:pt>
                <c:pt idx="71">
                  <c:v>-2.9000000000000203</c:v>
                </c:pt>
                <c:pt idx="72">
                  <c:v>-2.8000000000000203</c:v>
                </c:pt>
                <c:pt idx="73">
                  <c:v>-2.7000000000000202</c:v>
                </c:pt>
                <c:pt idx="74">
                  <c:v>-2.6000000000000201</c:v>
                </c:pt>
                <c:pt idx="75">
                  <c:v>-2.50000000000002</c:v>
                </c:pt>
                <c:pt idx="76">
                  <c:v>-2.4000000000000199</c:v>
                </c:pt>
                <c:pt idx="77">
                  <c:v>-2.3000000000000198</c:v>
                </c:pt>
                <c:pt idx="78">
                  <c:v>-2.2000000000000197</c:v>
                </c:pt>
                <c:pt idx="79">
                  <c:v>-2.1000000000000196</c:v>
                </c:pt>
                <c:pt idx="80">
                  <c:v>-2.0000000000000195</c:v>
                </c:pt>
                <c:pt idx="81">
                  <c:v>-1.9000000000000195</c:v>
                </c:pt>
                <c:pt idx="82">
                  <c:v>-1.8000000000000194</c:v>
                </c:pt>
                <c:pt idx="83">
                  <c:v>-1.7000000000000193</c:v>
                </c:pt>
                <c:pt idx="84">
                  <c:v>-1.6000000000000192</c:v>
                </c:pt>
                <c:pt idx="85">
                  <c:v>-1.5000000000000191</c:v>
                </c:pt>
                <c:pt idx="86">
                  <c:v>-1.400000000000019</c:v>
                </c:pt>
                <c:pt idx="87">
                  <c:v>-1.3000000000000189</c:v>
                </c:pt>
                <c:pt idx="88">
                  <c:v>-1.2000000000000188</c:v>
                </c:pt>
                <c:pt idx="89">
                  <c:v>-1.1000000000000187</c:v>
                </c:pt>
                <c:pt idx="90">
                  <c:v>-1.0000000000000187</c:v>
                </c:pt>
                <c:pt idx="91">
                  <c:v>-0.90000000000001867</c:v>
                </c:pt>
                <c:pt idx="92">
                  <c:v>-0.8000000000000187</c:v>
                </c:pt>
                <c:pt idx="93">
                  <c:v>-0.70000000000001872</c:v>
                </c:pt>
                <c:pt idx="94">
                  <c:v>-0.60000000000001874</c:v>
                </c:pt>
                <c:pt idx="95">
                  <c:v>-0.50000000000001876</c:v>
                </c:pt>
                <c:pt idx="96">
                  <c:v>-0.40000000000001878</c:v>
                </c:pt>
                <c:pt idx="97">
                  <c:v>-0.30000000000001881</c:v>
                </c:pt>
                <c:pt idx="98">
                  <c:v>-0.2000000000000188</c:v>
                </c:pt>
                <c:pt idx="99">
                  <c:v>-0.1000000000000188</c:v>
                </c:pt>
                <c:pt idx="100">
                  <c:v>-1.8790524691780774E-14</c:v>
                </c:pt>
                <c:pt idx="101">
                  <c:v>9.9999999999981215E-2</c:v>
                </c:pt>
                <c:pt idx="102">
                  <c:v>0.19999999999998122</c:v>
                </c:pt>
                <c:pt idx="103">
                  <c:v>0.29999999999998123</c:v>
                </c:pt>
                <c:pt idx="104">
                  <c:v>0.39999999999998126</c:v>
                </c:pt>
                <c:pt idx="105">
                  <c:v>0.49999999999998124</c:v>
                </c:pt>
                <c:pt idx="106">
                  <c:v>0.59999999999998122</c:v>
                </c:pt>
                <c:pt idx="107">
                  <c:v>0.69999999999998119</c:v>
                </c:pt>
                <c:pt idx="108">
                  <c:v>0.79999999999998117</c:v>
                </c:pt>
                <c:pt idx="109">
                  <c:v>0.89999999999998115</c:v>
                </c:pt>
                <c:pt idx="110">
                  <c:v>0.99999999999998113</c:v>
                </c:pt>
                <c:pt idx="111">
                  <c:v>1.0999999999999812</c:v>
                </c:pt>
                <c:pt idx="112">
                  <c:v>1.1999999999999813</c:v>
                </c:pt>
                <c:pt idx="113">
                  <c:v>1.2999999999999814</c:v>
                </c:pt>
                <c:pt idx="114">
                  <c:v>1.3999999999999815</c:v>
                </c:pt>
                <c:pt idx="115">
                  <c:v>1.4999999999999816</c:v>
                </c:pt>
                <c:pt idx="116">
                  <c:v>1.5999999999999817</c:v>
                </c:pt>
                <c:pt idx="117">
                  <c:v>1.6999999999999817</c:v>
                </c:pt>
                <c:pt idx="118">
                  <c:v>1.7999999999999818</c:v>
                </c:pt>
                <c:pt idx="119">
                  <c:v>1.8999999999999819</c:v>
                </c:pt>
                <c:pt idx="120">
                  <c:v>1.999999999999982</c:v>
                </c:pt>
                <c:pt idx="121">
                  <c:v>2.0999999999999819</c:v>
                </c:pt>
                <c:pt idx="122">
                  <c:v>2.199999999999982</c:v>
                </c:pt>
                <c:pt idx="123">
                  <c:v>2.2999999999999821</c:v>
                </c:pt>
                <c:pt idx="124">
                  <c:v>2.3999999999999821</c:v>
                </c:pt>
                <c:pt idx="125">
                  <c:v>2.4999999999999822</c:v>
                </c:pt>
                <c:pt idx="126">
                  <c:v>2.5999999999999823</c:v>
                </c:pt>
                <c:pt idx="127">
                  <c:v>2.6999999999999824</c:v>
                </c:pt>
                <c:pt idx="128">
                  <c:v>2.7999999999999825</c:v>
                </c:pt>
                <c:pt idx="129">
                  <c:v>2.8999999999999826</c:v>
                </c:pt>
                <c:pt idx="130">
                  <c:v>2.9999999999999827</c:v>
                </c:pt>
                <c:pt idx="131">
                  <c:v>3.0999999999999828</c:v>
                </c:pt>
                <c:pt idx="132">
                  <c:v>3.1999999999999829</c:v>
                </c:pt>
                <c:pt idx="133">
                  <c:v>3.2999999999999829</c:v>
                </c:pt>
                <c:pt idx="134">
                  <c:v>3.399999999999983</c:v>
                </c:pt>
                <c:pt idx="135">
                  <c:v>3.4999999999999831</c:v>
                </c:pt>
                <c:pt idx="136">
                  <c:v>3.5999999999999832</c:v>
                </c:pt>
                <c:pt idx="137">
                  <c:v>3.6999999999999833</c:v>
                </c:pt>
                <c:pt idx="138">
                  <c:v>3.7999999999999834</c:v>
                </c:pt>
                <c:pt idx="139">
                  <c:v>3.8999999999999835</c:v>
                </c:pt>
                <c:pt idx="140">
                  <c:v>3.9999999999999836</c:v>
                </c:pt>
                <c:pt idx="141">
                  <c:v>4.0999999999999837</c:v>
                </c:pt>
                <c:pt idx="142">
                  <c:v>4.1999999999999833</c:v>
                </c:pt>
                <c:pt idx="143">
                  <c:v>4.2999999999999829</c:v>
                </c:pt>
                <c:pt idx="144">
                  <c:v>4.3999999999999826</c:v>
                </c:pt>
                <c:pt idx="145">
                  <c:v>4.4999999999999822</c:v>
                </c:pt>
                <c:pt idx="146">
                  <c:v>4.5999999999999819</c:v>
                </c:pt>
                <c:pt idx="147">
                  <c:v>4.6999999999999815</c:v>
                </c:pt>
                <c:pt idx="148">
                  <c:v>4.7999999999999812</c:v>
                </c:pt>
                <c:pt idx="149">
                  <c:v>4.8999999999999808</c:v>
                </c:pt>
                <c:pt idx="150">
                  <c:v>4.9999999999999805</c:v>
                </c:pt>
                <c:pt idx="151">
                  <c:v>5.0999999999999801</c:v>
                </c:pt>
                <c:pt idx="152">
                  <c:v>5.1999999999999797</c:v>
                </c:pt>
                <c:pt idx="153">
                  <c:v>5.2999999999999794</c:v>
                </c:pt>
                <c:pt idx="154">
                  <c:v>5.399999999999979</c:v>
                </c:pt>
                <c:pt idx="155">
                  <c:v>5.4999999999999787</c:v>
                </c:pt>
                <c:pt idx="156">
                  <c:v>5.5999999999999783</c:v>
                </c:pt>
                <c:pt idx="157">
                  <c:v>5.699999999999978</c:v>
                </c:pt>
                <c:pt idx="158">
                  <c:v>5.7999999999999776</c:v>
                </c:pt>
                <c:pt idx="159">
                  <c:v>5.8999999999999773</c:v>
                </c:pt>
                <c:pt idx="160">
                  <c:v>5.9999999999999769</c:v>
                </c:pt>
                <c:pt idx="161">
                  <c:v>6.0999999999999766</c:v>
                </c:pt>
                <c:pt idx="162">
                  <c:v>6.1999999999999762</c:v>
                </c:pt>
                <c:pt idx="163">
                  <c:v>6.2999999999999758</c:v>
                </c:pt>
                <c:pt idx="164">
                  <c:v>6.3999999999999755</c:v>
                </c:pt>
                <c:pt idx="165">
                  <c:v>6.4999999999999751</c:v>
                </c:pt>
                <c:pt idx="166">
                  <c:v>6.5999999999999748</c:v>
                </c:pt>
                <c:pt idx="167">
                  <c:v>6.6999999999999744</c:v>
                </c:pt>
                <c:pt idx="168">
                  <c:v>6.7999999999999741</c:v>
                </c:pt>
                <c:pt idx="169">
                  <c:v>6.8999999999999737</c:v>
                </c:pt>
                <c:pt idx="170">
                  <c:v>6.9999999999999734</c:v>
                </c:pt>
                <c:pt idx="171">
                  <c:v>7.099999999999973</c:v>
                </c:pt>
                <c:pt idx="172">
                  <c:v>7.1999999999999726</c:v>
                </c:pt>
                <c:pt idx="173">
                  <c:v>7.2999999999999723</c:v>
                </c:pt>
                <c:pt idx="174">
                  <c:v>7.3999999999999719</c:v>
                </c:pt>
                <c:pt idx="175">
                  <c:v>7.4999999999999716</c:v>
                </c:pt>
                <c:pt idx="176">
                  <c:v>7.5999999999999712</c:v>
                </c:pt>
                <c:pt idx="177">
                  <c:v>7.6999999999999709</c:v>
                </c:pt>
                <c:pt idx="178">
                  <c:v>7.7999999999999705</c:v>
                </c:pt>
                <c:pt idx="179">
                  <c:v>7.8999999999999702</c:v>
                </c:pt>
                <c:pt idx="180">
                  <c:v>7.9999999999999698</c:v>
                </c:pt>
                <c:pt idx="181">
                  <c:v>8.0999999999999694</c:v>
                </c:pt>
                <c:pt idx="182">
                  <c:v>8.1999999999999691</c:v>
                </c:pt>
                <c:pt idx="183">
                  <c:v>8.2999999999999687</c:v>
                </c:pt>
                <c:pt idx="184">
                  <c:v>8.3999999999999684</c:v>
                </c:pt>
                <c:pt idx="185">
                  <c:v>8.499999999999968</c:v>
                </c:pt>
                <c:pt idx="186">
                  <c:v>8.5999999999999677</c:v>
                </c:pt>
                <c:pt idx="187">
                  <c:v>8.6999999999999673</c:v>
                </c:pt>
                <c:pt idx="188">
                  <c:v>8.799999999999967</c:v>
                </c:pt>
                <c:pt idx="189">
                  <c:v>8.8999999999999666</c:v>
                </c:pt>
                <c:pt idx="190">
                  <c:v>8.9999999999999662</c:v>
                </c:pt>
                <c:pt idx="191">
                  <c:v>9.0999999999999659</c:v>
                </c:pt>
                <c:pt idx="192">
                  <c:v>9.1999999999999655</c:v>
                </c:pt>
                <c:pt idx="193">
                  <c:v>9.2999999999999652</c:v>
                </c:pt>
                <c:pt idx="194">
                  <c:v>9.3999999999999648</c:v>
                </c:pt>
                <c:pt idx="195">
                  <c:v>9.4999999999999645</c:v>
                </c:pt>
                <c:pt idx="196">
                  <c:v>9.5999999999999641</c:v>
                </c:pt>
                <c:pt idx="197">
                  <c:v>9.6999999999999638</c:v>
                </c:pt>
                <c:pt idx="198">
                  <c:v>9.7999999999999634</c:v>
                </c:pt>
                <c:pt idx="199">
                  <c:v>9.8999999999999631</c:v>
                </c:pt>
                <c:pt idx="200">
                  <c:v>9.9999999999999627</c:v>
                </c:pt>
                <c:pt idx="201">
                  <c:v>10.099999999999962</c:v>
                </c:pt>
              </c:numCache>
            </c:numRef>
          </c:cat>
          <c:val>
            <c:numRef>
              <c:f>'NT 1'!$B$8:$B$209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'NT 1'!$C$7</c:f>
              <c:strCache>
                <c:ptCount val="1"/>
                <c:pt idx="0">
                  <c:v>ncp 2</c:v>
                </c:pt>
              </c:strCache>
            </c:strRef>
          </c:tx>
          <c:marker>
            <c:symbol val="none"/>
          </c:marker>
          <c:cat>
            <c:numRef>
              <c:f>'NT 1'!$A$8:$A$209</c:f>
              <c:numCache>
                <c:formatCode>General</c:formatCode>
                <c:ptCount val="202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-9.7000000000000011</c:v>
                </c:pt>
                <c:pt idx="4">
                  <c:v>-9.6000000000000014</c:v>
                </c:pt>
                <c:pt idx="5">
                  <c:v>-9.5000000000000018</c:v>
                </c:pt>
                <c:pt idx="6">
                  <c:v>-9.4000000000000021</c:v>
                </c:pt>
                <c:pt idx="7">
                  <c:v>-9.3000000000000025</c:v>
                </c:pt>
                <c:pt idx="8">
                  <c:v>-9.2000000000000028</c:v>
                </c:pt>
                <c:pt idx="9">
                  <c:v>-9.1000000000000032</c:v>
                </c:pt>
                <c:pt idx="10">
                  <c:v>-9.0000000000000036</c:v>
                </c:pt>
                <c:pt idx="11">
                  <c:v>-8.9000000000000039</c:v>
                </c:pt>
                <c:pt idx="12">
                  <c:v>-8.8000000000000043</c:v>
                </c:pt>
                <c:pt idx="13">
                  <c:v>-8.7000000000000046</c:v>
                </c:pt>
                <c:pt idx="14">
                  <c:v>-8.600000000000005</c:v>
                </c:pt>
                <c:pt idx="15">
                  <c:v>-8.5000000000000053</c:v>
                </c:pt>
                <c:pt idx="16">
                  <c:v>-8.4000000000000057</c:v>
                </c:pt>
                <c:pt idx="17">
                  <c:v>-8.300000000000006</c:v>
                </c:pt>
                <c:pt idx="18">
                  <c:v>-8.2000000000000064</c:v>
                </c:pt>
                <c:pt idx="19">
                  <c:v>-8.1000000000000068</c:v>
                </c:pt>
                <c:pt idx="20">
                  <c:v>-8.0000000000000071</c:v>
                </c:pt>
                <c:pt idx="21">
                  <c:v>-7.9000000000000075</c:v>
                </c:pt>
                <c:pt idx="22">
                  <c:v>-7.8000000000000078</c:v>
                </c:pt>
                <c:pt idx="23">
                  <c:v>-7.7000000000000082</c:v>
                </c:pt>
                <c:pt idx="24">
                  <c:v>-7.6000000000000085</c:v>
                </c:pt>
                <c:pt idx="25">
                  <c:v>-7.5000000000000089</c:v>
                </c:pt>
                <c:pt idx="26">
                  <c:v>-7.4000000000000092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-7.0000000000000107</c:v>
                </c:pt>
                <c:pt idx="31">
                  <c:v>-6.900000000000011</c:v>
                </c:pt>
                <c:pt idx="32">
                  <c:v>-6.8000000000000114</c:v>
                </c:pt>
                <c:pt idx="33">
                  <c:v>-6.7000000000000117</c:v>
                </c:pt>
                <c:pt idx="34">
                  <c:v>-6.6000000000000121</c:v>
                </c:pt>
                <c:pt idx="35">
                  <c:v>-6.5000000000000124</c:v>
                </c:pt>
                <c:pt idx="36">
                  <c:v>-6.4000000000000128</c:v>
                </c:pt>
                <c:pt idx="37">
                  <c:v>-6.3000000000000131</c:v>
                </c:pt>
                <c:pt idx="38">
                  <c:v>-6.2000000000000135</c:v>
                </c:pt>
                <c:pt idx="39">
                  <c:v>-6.1000000000000139</c:v>
                </c:pt>
                <c:pt idx="40">
                  <c:v>-6.0000000000000142</c:v>
                </c:pt>
                <c:pt idx="41">
                  <c:v>-5.9000000000000146</c:v>
                </c:pt>
                <c:pt idx="42">
                  <c:v>-5.8000000000000149</c:v>
                </c:pt>
                <c:pt idx="43">
                  <c:v>-5.7000000000000153</c:v>
                </c:pt>
                <c:pt idx="44">
                  <c:v>-5.6000000000000156</c:v>
                </c:pt>
                <c:pt idx="45">
                  <c:v>-5.500000000000016</c:v>
                </c:pt>
                <c:pt idx="46">
                  <c:v>-5.4000000000000163</c:v>
                </c:pt>
                <c:pt idx="47">
                  <c:v>-5.3000000000000167</c:v>
                </c:pt>
                <c:pt idx="48">
                  <c:v>-5.2000000000000171</c:v>
                </c:pt>
                <c:pt idx="49">
                  <c:v>-5.1000000000000174</c:v>
                </c:pt>
                <c:pt idx="50">
                  <c:v>-5.0000000000000178</c:v>
                </c:pt>
                <c:pt idx="51">
                  <c:v>-4.9000000000000181</c:v>
                </c:pt>
                <c:pt idx="52">
                  <c:v>-4.8000000000000185</c:v>
                </c:pt>
                <c:pt idx="53">
                  <c:v>-4.7000000000000188</c:v>
                </c:pt>
                <c:pt idx="54">
                  <c:v>-4.6000000000000192</c:v>
                </c:pt>
                <c:pt idx="55">
                  <c:v>-4.5000000000000195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-4.2000000000000206</c:v>
                </c:pt>
                <c:pt idx="59">
                  <c:v>-4.100000000000021</c:v>
                </c:pt>
                <c:pt idx="60">
                  <c:v>-4.0000000000000213</c:v>
                </c:pt>
                <c:pt idx="61">
                  <c:v>-3.9000000000000212</c:v>
                </c:pt>
                <c:pt idx="62">
                  <c:v>-3.8000000000000211</c:v>
                </c:pt>
                <c:pt idx="63">
                  <c:v>-3.700000000000021</c:v>
                </c:pt>
                <c:pt idx="64">
                  <c:v>-3.600000000000021</c:v>
                </c:pt>
                <c:pt idx="65">
                  <c:v>-3.5000000000000209</c:v>
                </c:pt>
                <c:pt idx="66">
                  <c:v>-3.4000000000000208</c:v>
                </c:pt>
                <c:pt idx="67">
                  <c:v>-3.3000000000000207</c:v>
                </c:pt>
                <c:pt idx="68">
                  <c:v>-3.2000000000000206</c:v>
                </c:pt>
                <c:pt idx="69">
                  <c:v>-3.1000000000000205</c:v>
                </c:pt>
                <c:pt idx="70">
                  <c:v>-3.0000000000000204</c:v>
                </c:pt>
                <c:pt idx="71">
                  <c:v>-2.9000000000000203</c:v>
                </c:pt>
                <c:pt idx="72">
                  <c:v>-2.8000000000000203</c:v>
                </c:pt>
                <c:pt idx="73">
                  <c:v>-2.7000000000000202</c:v>
                </c:pt>
                <c:pt idx="74">
                  <c:v>-2.6000000000000201</c:v>
                </c:pt>
                <c:pt idx="75">
                  <c:v>-2.50000000000002</c:v>
                </c:pt>
                <c:pt idx="76">
                  <c:v>-2.4000000000000199</c:v>
                </c:pt>
                <c:pt idx="77">
                  <c:v>-2.3000000000000198</c:v>
                </c:pt>
                <c:pt idx="78">
                  <c:v>-2.2000000000000197</c:v>
                </c:pt>
                <c:pt idx="79">
                  <c:v>-2.1000000000000196</c:v>
                </c:pt>
                <c:pt idx="80">
                  <c:v>-2.0000000000000195</c:v>
                </c:pt>
                <c:pt idx="81">
                  <c:v>-1.9000000000000195</c:v>
                </c:pt>
                <c:pt idx="82">
                  <c:v>-1.8000000000000194</c:v>
                </c:pt>
                <c:pt idx="83">
                  <c:v>-1.7000000000000193</c:v>
                </c:pt>
                <c:pt idx="84">
                  <c:v>-1.6000000000000192</c:v>
                </c:pt>
                <c:pt idx="85">
                  <c:v>-1.5000000000000191</c:v>
                </c:pt>
                <c:pt idx="86">
                  <c:v>-1.400000000000019</c:v>
                </c:pt>
                <c:pt idx="87">
                  <c:v>-1.3000000000000189</c:v>
                </c:pt>
                <c:pt idx="88">
                  <c:v>-1.2000000000000188</c:v>
                </c:pt>
                <c:pt idx="89">
                  <c:v>-1.1000000000000187</c:v>
                </c:pt>
                <c:pt idx="90">
                  <c:v>-1.0000000000000187</c:v>
                </c:pt>
                <c:pt idx="91">
                  <c:v>-0.90000000000001867</c:v>
                </c:pt>
                <c:pt idx="92">
                  <c:v>-0.8000000000000187</c:v>
                </c:pt>
                <c:pt idx="93">
                  <c:v>-0.70000000000001872</c:v>
                </c:pt>
                <c:pt idx="94">
                  <c:v>-0.60000000000001874</c:v>
                </c:pt>
                <c:pt idx="95">
                  <c:v>-0.50000000000001876</c:v>
                </c:pt>
                <c:pt idx="96">
                  <c:v>-0.40000000000001878</c:v>
                </c:pt>
                <c:pt idx="97">
                  <c:v>-0.30000000000001881</c:v>
                </c:pt>
                <c:pt idx="98">
                  <c:v>-0.2000000000000188</c:v>
                </c:pt>
                <c:pt idx="99">
                  <c:v>-0.1000000000000188</c:v>
                </c:pt>
                <c:pt idx="100">
                  <c:v>-1.8790524691780774E-14</c:v>
                </c:pt>
                <c:pt idx="101">
                  <c:v>9.9999999999981215E-2</c:v>
                </c:pt>
                <c:pt idx="102">
                  <c:v>0.19999999999998122</c:v>
                </c:pt>
                <c:pt idx="103">
                  <c:v>0.29999999999998123</c:v>
                </c:pt>
                <c:pt idx="104">
                  <c:v>0.39999999999998126</c:v>
                </c:pt>
                <c:pt idx="105">
                  <c:v>0.49999999999998124</c:v>
                </c:pt>
                <c:pt idx="106">
                  <c:v>0.59999999999998122</c:v>
                </c:pt>
                <c:pt idx="107">
                  <c:v>0.69999999999998119</c:v>
                </c:pt>
                <c:pt idx="108">
                  <c:v>0.79999999999998117</c:v>
                </c:pt>
                <c:pt idx="109">
                  <c:v>0.89999999999998115</c:v>
                </c:pt>
                <c:pt idx="110">
                  <c:v>0.99999999999998113</c:v>
                </c:pt>
                <c:pt idx="111">
                  <c:v>1.0999999999999812</c:v>
                </c:pt>
                <c:pt idx="112">
                  <c:v>1.1999999999999813</c:v>
                </c:pt>
                <c:pt idx="113">
                  <c:v>1.2999999999999814</c:v>
                </c:pt>
                <c:pt idx="114">
                  <c:v>1.3999999999999815</c:v>
                </c:pt>
                <c:pt idx="115">
                  <c:v>1.4999999999999816</c:v>
                </c:pt>
                <c:pt idx="116">
                  <c:v>1.5999999999999817</c:v>
                </c:pt>
                <c:pt idx="117">
                  <c:v>1.6999999999999817</c:v>
                </c:pt>
                <c:pt idx="118">
                  <c:v>1.7999999999999818</c:v>
                </c:pt>
                <c:pt idx="119">
                  <c:v>1.8999999999999819</c:v>
                </c:pt>
                <c:pt idx="120">
                  <c:v>1.999999999999982</c:v>
                </c:pt>
                <c:pt idx="121">
                  <c:v>2.0999999999999819</c:v>
                </c:pt>
                <c:pt idx="122">
                  <c:v>2.199999999999982</c:v>
                </c:pt>
                <c:pt idx="123">
                  <c:v>2.2999999999999821</c:v>
                </c:pt>
                <c:pt idx="124">
                  <c:v>2.3999999999999821</c:v>
                </c:pt>
                <c:pt idx="125">
                  <c:v>2.4999999999999822</c:v>
                </c:pt>
                <c:pt idx="126">
                  <c:v>2.5999999999999823</c:v>
                </c:pt>
                <c:pt idx="127">
                  <c:v>2.6999999999999824</c:v>
                </c:pt>
                <c:pt idx="128">
                  <c:v>2.7999999999999825</c:v>
                </c:pt>
                <c:pt idx="129">
                  <c:v>2.8999999999999826</c:v>
                </c:pt>
                <c:pt idx="130">
                  <c:v>2.9999999999999827</c:v>
                </c:pt>
                <c:pt idx="131">
                  <c:v>3.0999999999999828</c:v>
                </c:pt>
                <c:pt idx="132">
                  <c:v>3.1999999999999829</c:v>
                </c:pt>
                <c:pt idx="133">
                  <c:v>3.2999999999999829</c:v>
                </c:pt>
                <c:pt idx="134">
                  <c:v>3.399999999999983</c:v>
                </c:pt>
                <c:pt idx="135">
                  <c:v>3.4999999999999831</c:v>
                </c:pt>
                <c:pt idx="136">
                  <c:v>3.5999999999999832</c:v>
                </c:pt>
                <c:pt idx="137">
                  <c:v>3.6999999999999833</c:v>
                </c:pt>
                <c:pt idx="138">
                  <c:v>3.7999999999999834</c:v>
                </c:pt>
                <c:pt idx="139">
                  <c:v>3.8999999999999835</c:v>
                </c:pt>
                <c:pt idx="140">
                  <c:v>3.9999999999999836</c:v>
                </c:pt>
                <c:pt idx="141">
                  <c:v>4.0999999999999837</c:v>
                </c:pt>
                <c:pt idx="142">
                  <c:v>4.1999999999999833</c:v>
                </c:pt>
                <c:pt idx="143">
                  <c:v>4.2999999999999829</c:v>
                </c:pt>
                <c:pt idx="144">
                  <c:v>4.3999999999999826</c:v>
                </c:pt>
                <c:pt idx="145">
                  <c:v>4.4999999999999822</c:v>
                </c:pt>
                <c:pt idx="146">
                  <c:v>4.5999999999999819</c:v>
                </c:pt>
                <c:pt idx="147">
                  <c:v>4.6999999999999815</c:v>
                </c:pt>
                <c:pt idx="148">
                  <c:v>4.7999999999999812</c:v>
                </c:pt>
                <c:pt idx="149">
                  <c:v>4.8999999999999808</c:v>
                </c:pt>
                <c:pt idx="150">
                  <c:v>4.9999999999999805</c:v>
                </c:pt>
                <c:pt idx="151">
                  <c:v>5.0999999999999801</c:v>
                </c:pt>
                <c:pt idx="152">
                  <c:v>5.1999999999999797</c:v>
                </c:pt>
                <c:pt idx="153">
                  <c:v>5.2999999999999794</c:v>
                </c:pt>
                <c:pt idx="154">
                  <c:v>5.399999999999979</c:v>
                </c:pt>
                <c:pt idx="155">
                  <c:v>5.4999999999999787</c:v>
                </c:pt>
                <c:pt idx="156">
                  <c:v>5.5999999999999783</c:v>
                </c:pt>
                <c:pt idx="157">
                  <c:v>5.699999999999978</c:v>
                </c:pt>
                <c:pt idx="158">
                  <c:v>5.7999999999999776</c:v>
                </c:pt>
                <c:pt idx="159">
                  <c:v>5.8999999999999773</c:v>
                </c:pt>
                <c:pt idx="160">
                  <c:v>5.9999999999999769</c:v>
                </c:pt>
                <c:pt idx="161">
                  <c:v>6.0999999999999766</c:v>
                </c:pt>
                <c:pt idx="162">
                  <c:v>6.1999999999999762</c:v>
                </c:pt>
                <c:pt idx="163">
                  <c:v>6.2999999999999758</c:v>
                </c:pt>
                <c:pt idx="164">
                  <c:v>6.3999999999999755</c:v>
                </c:pt>
                <c:pt idx="165">
                  <c:v>6.4999999999999751</c:v>
                </c:pt>
                <c:pt idx="166">
                  <c:v>6.5999999999999748</c:v>
                </c:pt>
                <c:pt idx="167">
                  <c:v>6.6999999999999744</c:v>
                </c:pt>
                <c:pt idx="168">
                  <c:v>6.7999999999999741</c:v>
                </c:pt>
                <c:pt idx="169">
                  <c:v>6.8999999999999737</c:v>
                </c:pt>
                <c:pt idx="170">
                  <c:v>6.9999999999999734</c:v>
                </c:pt>
                <c:pt idx="171">
                  <c:v>7.099999999999973</c:v>
                </c:pt>
                <c:pt idx="172">
                  <c:v>7.1999999999999726</c:v>
                </c:pt>
                <c:pt idx="173">
                  <c:v>7.2999999999999723</c:v>
                </c:pt>
                <c:pt idx="174">
                  <c:v>7.3999999999999719</c:v>
                </c:pt>
                <c:pt idx="175">
                  <c:v>7.4999999999999716</c:v>
                </c:pt>
                <c:pt idx="176">
                  <c:v>7.5999999999999712</c:v>
                </c:pt>
                <c:pt idx="177">
                  <c:v>7.6999999999999709</c:v>
                </c:pt>
                <c:pt idx="178">
                  <c:v>7.7999999999999705</c:v>
                </c:pt>
                <c:pt idx="179">
                  <c:v>7.8999999999999702</c:v>
                </c:pt>
                <c:pt idx="180">
                  <c:v>7.9999999999999698</c:v>
                </c:pt>
                <c:pt idx="181">
                  <c:v>8.0999999999999694</c:v>
                </c:pt>
                <c:pt idx="182">
                  <c:v>8.1999999999999691</c:v>
                </c:pt>
                <c:pt idx="183">
                  <c:v>8.2999999999999687</c:v>
                </c:pt>
                <c:pt idx="184">
                  <c:v>8.3999999999999684</c:v>
                </c:pt>
                <c:pt idx="185">
                  <c:v>8.499999999999968</c:v>
                </c:pt>
                <c:pt idx="186">
                  <c:v>8.5999999999999677</c:v>
                </c:pt>
                <c:pt idx="187">
                  <c:v>8.6999999999999673</c:v>
                </c:pt>
                <c:pt idx="188">
                  <c:v>8.799999999999967</c:v>
                </c:pt>
                <c:pt idx="189">
                  <c:v>8.8999999999999666</c:v>
                </c:pt>
                <c:pt idx="190">
                  <c:v>8.9999999999999662</c:v>
                </c:pt>
                <c:pt idx="191">
                  <c:v>9.0999999999999659</c:v>
                </c:pt>
                <c:pt idx="192">
                  <c:v>9.1999999999999655</c:v>
                </c:pt>
                <c:pt idx="193">
                  <c:v>9.2999999999999652</c:v>
                </c:pt>
                <c:pt idx="194">
                  <c:v>9.3999999999999648</c:v>
                </c:pt>
                <c:pt idx="195">
                  <c:v>9.4999999999999645</c:v>
                </c:pt>
                <c:pt idx="196">
                  <c:v>9.5999999999999641</c:v>
                </c:pt>
                <c:pt idx="197">
                  <c:v>9.6999999999999638</c:v>
                </c:pt>
                <c:pt idx="198">
                  <c:v>9.7999999999999634</c:v>
                </c:pt>
                <c:pt idx="199">
                  <c:v>9.8999999999999631</c:v>
                </c:pt>
                <c:pt idx="200">
                  <c:v>9.9999999999999627</c:v>
                </c:pt>
                <c:pt idx="201">
                  <c:v>10.099999999999962</c:v>
                </c:pt>
              </c:numCache>
            </c:numRef>
          </c:cat>
          <c:val>
            <c:numRef>
              <c:f>'NT 1'!$C$8:$C$209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'NT 1'!$D$7</c:f>
              <c:strCache>
                <c:ptCount val="1"/>
                <c:pt idx="0">
                  <c:v>ncp 4</c:v>
                </c:pt>
              </c:strCache>
            </c:strRef>
          </c:tx>
          <c:marker>
            <c:symbol val="none"/>
          </c:marker>
          <c:cat>
            <c:numRef>
              <c:f>'NT 1'!$A$8:$A$209</c:f>
              <c:numCache>
                <c:formatCode>General</c:formatCode>
                <c:ptCount val="202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-9.7000000000000011</c:v>
                </c:pt>
                <c:pt idx="4">
                  <c:v>-9.6000000000000014</c:v>
                </c:pt>
                <c:pt idx="5">
                  <c:v>-9.5000000000000018</c:v>
                </c:pt>
                <c:pt idx="6">
                  <c:v>-9.4000000000000021</c:v>
                </c:pt>
                <c:pt idx="7">
                  <c:v>-9.3000000000000025</c:v>
                </c:pt>
                <c:pt idx="8">
                  <c:v>-9.2000000000000028</c:v>
                </c:pt>
                <c:pt idx="9">
                  <c:v>-9.1000000000000032</c:v>
                </c:pt>
                <c:pt idx="10">
                  <c:v>-9.0000000000000036</c:v>
                </c:pt>
                <c:pt idx="11">
                  <c:v>-8.9000000000000039</c:v>
                </c:pt>
                <c:pt idx="12">
                  <c:v>-8.8000000000000043</c:v>
                </c:pt>
                <c:pt idx="13">
                  <c:v>-8.7000000000000046</c:v>
                </c:pt>
                <c:pt idx="14">
                  <c:v>-8.600000000000005</c:v>
                </c:pt>
                <c:pt idx="15">
                  <c:v>-8.5000000000000053</c:v>
                </c:pt>
                <c:pt idx="16">
                  <c:v>-8.4000000000000057</c:v>
                </c:pt>
                <c:pt idx="17">
                  <c:v>-8.300000000000006</c:v>
                </c:pt>
                <c:pt idx="18">
                  <c:v>-8.2000000000000064</c:v>
                </c:pt>
                <c:pt idx="19">
                  <c:v>-8.1000000000000068</c:v>
                </c:pt>
                <c:pt idx="20">
                  <c:v>-8.0000000000000071</c:v>
                </c:pt>
                <c:pt idx="21">
                  <c:v>-7.9000000000000075</c:v>
                </c:pt>
                <c:pt idx="22">
                  <c:v>-7.8000000000000078</c:v>
                </c:pt>
                <c:pt idx="23">
                  <c:v>-7.7000000000000082</c:v>
                </c:pt>
                <c:pt idx="24">
                  <c:v>-7.6000000000000085</c:v>
                </c:pt>
                <c:pt idx="25">
                  <c:v>-7.5000000000000089</c:v>
                </c:pt>
                <c:pt idx="26">
                  <c:v>-7.4000000000000092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-7.0000000000000107</c:v>
                </c:pt>
                <c:pt idx="31">
                  <c:v>-6.900000000000011</c:v>
                </c:pt>
                <c:pt idx="32">
                  <c:v>-6.8000000000000114</c:v>
                </c:pt>
                <c:pt idx="33">
                  <c:v>-6.7000000000000117</c:v>
                </c:pt>
                <c:pt idx="34">
                  <c:v>-6.6000000000000121</c:v>
                </c:pt>
                <c:pt idx="35">
                  <c:v>-6.5000000000000124</c:v>
                </c:pt>
                <c:pt idx="36">
                  <c:v>-6.4000000000000128</c:v>
                </c:pt>
                <c:pt idx="37">
                  <c:v>-6.3000000000000131</c:v>
                </c:pt>
                <c:pt idx="38">
                  <c:v>-6.2000000000000135</c:v>
                </c:pt>
                <c:pt idx="39">
                  <c:v>-6.1000000000000139</c:v>
                </c:pt>
                <c:pt idx="40">
                  <c:v>-6.0000000000000142</c:v>
                </c:pt>
                <c:pt idx="41">
                  <c:v>-5.9000000000000146</c:v>
                </c:pt>
                <c:pt idx="42">
                  <c:v>-5.8000000000000149</c:v>
                </c:pt>
                <c:pt idx="43">
                  <c:v>-5.7000000000000153</c:v>
                </c:pt>
                <c:pt idx="44">
                  <c:v>-5.6000000000000156</c:v>
                </c:pt>
                <c:pt idx="45">
                  <c:v>-5.500000000000016</c:v>
                </c:pt>
                <c:pt idx="46">
                  <c:v>-5.4000000000000163</c:v>
                </c:pt>
                <c:pt idx="47">
                  <c:v>-5.3000000000000167</c:v>
                </c:pt>
                <c:pt idx="48">
                  <c:v>-5.2000000000000171</c:v>
                </c:pt>
                <c:pt idx="49">
                  <c:v>-5.1000000000000174</c:v>
                </c:pt>
                <c:pt idx="50">
                  <c:v>-5.0000000000000178</c:v>
                </c:pt>
                <c:pt idx="51">
                  <c:v>-4.9000000000000181</c:v>
                </c:pt>
                <c:pt idx="52">
                  <c:v>-4.8000000000000185</c:v>
                </c:pt>
                <c:pt idx="53">
                  <c:v>-4.7000000000000188</c:v>
                </c:pt>
                <c:pt idx="54">
                  <c:v>-4.6000000000000192</c:v>
                </c:pt>
                <c:pt idx="55">
                  <c:v>-4.5000000000000195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-4.2000000000000206</c:v>
                </c:pt>
                <c:pt idx="59">
                  <c:v>-4.100000000000021</c:v>
                </c:pt>
                <c:pt idx="60">
                  <c:v>-4.0000000000000213</c:v>
                </c:pt>
                <c:pt idx="61">
                  <c:v>-3.9000000000000212</c:v>
                </c:pt>
                <c:pt idx="62">
                  <c:v>-3.8000000000000211</c:v>
                </c:pt>
                <c:pt idx="63">
                  <c:v>-3.700000000000021</c:v>
                </c:pt>
                <c:pt idx="64">
                  <c:v>-3.600000000000021</c:v>
                </c:pt>
                <c:pt idx="65">
                  <c:v>-3.5000000000000209</c:v>
                </c:pt>
                <c:pt idx="66">
                  <c:v>-3.4000000000000208</c:v>
                </c:pt>
                <c:pt idx="67">
                  <c:v>-3.3000000000000207</c:v>
                </c:pt>
                <c:pt idx="68">
                  <c:v>-3.2000000000000206</c:v>
                </c:pt>
                <c:pt idx="69">
                  <c:v>-3.1000000000000205</c:v>
                </c:pt>
                <c:pt idx="70">
                  <c:v>-3.0000000000000204</c:v>
                </c:pt>
                <c:pt idx="71">
                  <c:v>-2.9000000000000203</c:v>
                </c:pt>
                <c:pt idx="72">
                  <c:v>-2.8000000000000203</c:v>
                </c:pt>
                <c:pt idx="73">
                  <c:v>-2.7000000000000202</c:v>
                </c:pt>
                <c:pt idx="74">
                  <c:v>-2.6000000000000201</c:v>
                </c:pt>
                <c:pt idx="75">
                  <c:v>-2.50000000000002</c:v>
                </c:pt>
                <c:pt idx="76">
                  <c:v>-2.4000000000000199</c:v>
                </c:pt>
                <c:pt idx="77">
                  <c:v>-2.3000000000000198</c:v>
                </c:pt>
                <c:pt idx="78">
                  <c:v>-2.2000000000000197</c:v>
                </c:pt>
                <c:pt idx="79">
                  <c:v>-2.1000000000000196</c:v>
                </c:pt>
                <c:pt idx="80">
                  <c:v>-2.0000000000000195</c:v>
                </c:pt>
                <c:pt idx="81">
                  <c:v>-1.9000000000000195</c:v>
                </c:pt>
                <c:pt idx="82">
                  <c:v>-1.8000000000000194</c:v>
                </c:pt>
                <c:pt idx="83">
                  <c:v>-1.7000000000000193</c:v>
                </c:pt>
                <c:pt idx="84">
                  <c:v>-1.6000000000000192</c:v>
                </c:pt>
                <c:pt idx="85">
                  <c:v>-1.5000000000000191</c:v>
                </c:pt>
                <c:pt idx="86">
                  <c:v>-1.400000000000019</c:v>
                </c:pt>
                <c:pt idx="87">
                  <c:v>-1.3000000000000189</c:v>
                </c:pt>
                <c:pt idx="88">
                  <c:v>-1.2000000000000188</c:v>
                </c:pt>
                <c:pt idx="89">
                  <c:v>-1.1000000000000187</c:v>
                </c:pt>
                <c:pt idx="90">
                  <c:v>-1.0000000000000187</c:v>
                </c:pt>
                <c:pt idx="91">
                  <c:v>-0.90000000000001867</c:v>
                </c:pt>
                <c:pt idx="92">
                  <c:v>-0.8000000000000187</c:v>
                </c:pt>
                <c:pt idx="93">
                  <c:v>-0.70000000000001872</c:v>
                </c:pt>
                <c:pt idx="94">
                  <c:v>-0.60000000000001874</c:v>
                </c:pt>
                <c:pt idx="95">
                  <c:v>-0.50000000000001876</c:v>
                </c:pt>
                <c:pt idx="96">
                  <c:v>-0.40000000000001878</c:v>
                </c:pt>
                <c:pt idx="97">
                  <c:v>-0.30000000000001881</c:v>
                </c:pt>
                <c:pt idx="98">
                  <c:v>-0.2000000000000188</c:v>
                </c:pt>
                <c:pt idx="99">
                  <c:v>-0.1000000000000188</c:v>
                </c:pt>
                <c:pt idx="100">
                  <c:v>-1.8790524691780774E-14</c:v>
                </c:pt>
                <c:pt idx="101">
                  <c:v>9.9999999999981215E-2</c:v>
                </c:pt>
                <c:pt idx="102">
                  <c:v>0.19999999999998122</c:v>
                </c:pt>
                <c:pt idx="103">
                  <c:v>0.29999999999998123</c:v>
                </c:pt>
                <c:pt idx="104">
                  <c:v>0.39999999999998126</c:v>
                </c:pt>
                <c:pt idx="105">
                  <c:v>0.49999999999998124</c:v>
                </c:pt>
                <c:pt idx="106">
                  <c:v>0.59999999999998122</c:v>
                </c:pt>
                <c:pt idx="107">
                  <c:v>0.69999999999998119</c:v>
                </c:pt>
                <c:pt idx="108">
                  <c:v>0.79999999999998117</c:v>
                </c:pt>
                <c:pt idx="109">
                  <c:v>0.89999999999998115</c:v>
                </c:pt>
                <c:pt idx="110">
                  <c:v>0.99999999999998113</c:v>
                </c:pt>
                <c:pt idx="111">
                  <c:v>1.0999999999999812</c:v>
                </c:pt>
                <c:pt idx="112">
                  <c:v>1.1999999999999813</c:v>
                </c:pt>
                <c:pt idx="113">
                  <c:v>1.2999999999999814</c:v>
                </c:pt>
                <c:pt idx="114">
                  <c:v>1.3999999999999815</c:v>
                </c:pt>
                <c:pt idx="115">
                  <c:v>1.4999999999999816</c:v>
                </c:pt>
                <c:pt idx="116">
                  <c:v>1.5999999999999817</c:v>
                </c:pt>
                <c:pt idx="117">
                  <c:v>1.6999999999999817</c:v>
                </c:pt>
                <c:pt idx="118">
                  <c:v>1.7999999999999818</c:v>
                </c:pt>
                <c:pt idx="119">
                  <c:v>1.8999999999999819</c:v>
                </c:pt>
                <c:pt idx="120">
                  <c:v>1.999999999999982</c:v>
                </c:pt>
                <c:pt idx="121">
                  <c:v>2.0999999999999819</c:v>
                </c:pt>
                <c:pt idx="122">
                  <c:v>2.199999999999982</c:v>
                </c:pt>
                <c:pt idx="123">
                  <c:v>2.2999999999999821</c:v>
                </c:pt>
                <c:pt idx="124">
                  <c:v>2.3999999999999821</c:v>
                </c:pt>
                <c:pt idx="125">
                  <c:v>2.4999999999999822</c:v>
                </c:pt>
                <c:pt idx="126">
                  <c:v>2.5999999999999823</c:v>
                </c:pt>
                <c:pt idx="127">
                  <c:v>2.6999999999999824</c:v>
                </c:pt>
                <c:pt idx="128">
                  <c:v>2.7999999999999825</c:v>
                </c:pt>
                <c:pt idx="129">
                  <c:v>2.8999999999999826</c:v>
                </c:pt>
                <c:pt idx="130">
                  <c:v>2.9999999999999827</c:v>
                </c:pt>
                <c:pt idx="131">
                  <c:v>3.0999999999999828</c:v>
                </c:pt>
                <c:pt idx="132">
                  <c:v>3.1999999999999829</c:v>
                </c:pt>
                <c:pt idx="133">
                  <c:v>3.2999999999999829</c:v>
                </c:pt>
                <c:pt idx="134">
                  <c:v>3.399999999999983</c:v>
                </c:pt>
                <c:pt idx="135">
                  <c:v>3.4999999999999831</c:v>
                </c:pt>
                <c:pt idx="136">
                  <c:v>3.5999999999999832</c:v>
                </c:pt>
                <c:pt idx="137">
                  <c:v>3.6999999999999833</c:v>
                </c:pt>
                <c:pt idx="138">
                  <c:v>3.7999999999999834</c:v>
                </c:pt>
                <c:pt idx="139">
                  <c:v>3.8999999999999835</c:v>
                </c:pt>
                <c:pt idx="140">
                  <c:v>3.9999999999999836</c:v>
                </c:pt>
                <c:pt idx="141">
                  <c:v>4.0999999999999837</c:v>
                </c:pt>
                <c:pt idx="142">
                  <c:v>4.1999999999999833</c:v>
                </c:pt>
                <c:pt idx="143">
                  <c:v>4.2999999999999829</c:v>
                </c:pt>
                <c:pt idx="144">
                  <c:v>4.3999999999999826</c:v>
                </c:pt>
                <c:pt idx="145">
                  <c:v>4.4999999999999822</c:v>
                </c:pt>
                <c:pt idx="146">
                  <c:v>4.5999999999999819</c:v>
                </c:pt>
                <c:pt idx="147">
                  <c:v>4.6999999999999815</c:v>
                </c:pt>
                <c:pt idx="148">
                  <c:v>4.7999999999999812</c:v>
                </c:pt>
                <c:pt idx="149">
                  <c:v>4.8999999999999808</c:v>
                </c:pt>
                <c:pt idx="150">
                  <c:v>4.9999999999999805</c:v>
                </c:pt>
                <c:pt idx="151">
                  <c:v>5.0999999999999801</c:v>
                </c:pt>
                <c:pt idx="152">
                  <c:v>5.1999999999999797</c:v>
                </c:pt>
                <c:pt idx="153">
                  <c:v>5.2999999999999794</c:v>
                </c:pt>
                <c:pt idx="154">
                  <c:v>5.399999999999979</c:v>
                </c:pt>
                <c:pt idx="155">
                  <c:v>5.4999999999999787</c:v>
                </c:pt>
                <c:pt idx="156">
                  <c:v>5.5999999999999783</c:v>
                </c:pt>
                <c:pt idx="157">
                  <c:v>5.699999999999978</c:v>
                </c:pt>
                <c:pt idx="158">
                  <c:v>5.7999999999999776</c:v>
                </c:pt>
                <c:pt idx="159">
                  <c:v>5.8999999999999773</c:v>
                </c:pt>
                <c:pt idx="160">
                  <c:v>5.9999999999999769</c:v>
                </c:pt>
                <c:pt idx="161">
                  <c:v>6.0999999999999766</c:v>
                </c:pt>
                <c:pt idx="162">
                  <c:v>6.1999999999999762</c:v>
                </c:pt>
                <c:pt idx="163">
                  <c:v>6.2999999999999758</c:v>
                </c:pt>
                <c:pt idx="164">
                  <c:v>6.3999999999999755</c:v>
                </c:pt>
                <c:pt idx="165">
                  <c:v>6.4999999999999751</c:v>
                </c:pt>
                <c:pt idx="166">
                  <c:v>6.5999999999999748</c:v>
                </c:pt>
                <c:pt idx="167">
                  <c:v>6.6999999999999744</c:v>
                </c:pt>
                <c:pt idx="168">
                  <c:v>6.7999999999999741</c:v>
                </c:pt>
                <c:pt idx="169">
                  <c:v>6.8999999999999737</c:v>
                </c:pt>
                <c:pt idx="170">
                  <c:v>6.9999999999999734</c:v>
                </c:pt>
                <c:pt idx="171">
                  <c:v>7.099999999999973</c:v>
                </c:pt>
                <c:pt idx="172">
                  <c:v>7.1999999999999726</c:v>
                </c:pt>
                <c:pt idx="173">
                  <c:v>7.2999999999999723</c:v>
                </c:pt>
                <c:pt idx="174">
                  <c:v>7.3999999999999719</c:v>
                </c:pt>
                <c:pt idx="175">
                  <c:v>7.4999999999999716</c:v>
                </c:pt>
                <c:pt idx="176">
                  <c:v>7.5999999999999712</c:v>
                </c:pt>
                <c:pt idx="177">
                  <c:v>7.6999999999999709</c:v>
                </c:pt>
                <c:pt idx="178">
                  <c:v>7.7999999999999705</c:v>
                </c:pt>
                <c:pt idx="179">
                  <c:v>7.8999999999999702</c:v>
                </c:pt>
                <c:pt idx="180">
                  <c:v>7.9999999999999698</c:v>
                </c:pt>
                <c:pt idx="181">
                  <c:v>8.0999999999999694</c:v>
                </c:pt>
                <c:pt idx="182">
                  <c:v>8.1999999999999691</c:v>
                </c:pt>
                <c:pt idx="183">
                  <c:v>8.2999999999999687</c:v>
                </c:pt>
                <c:pt idx="184">
                  <c:v>8.3999999999999684</c:v>
                </c:pt>
                <c:pt idx="185">
                  <c:v>8.499999999999968</c:v>
                </c:pt>
                <c:pt idx="186">
                  <c:v>8.5999999999999677</c:v>
                </c:pt>
                <c:pt idx="187">
                  <c:v>8.6999999999999673</c:v>
                </c:pt>
                <c:pt idx="188">
                  <c:v>8.799999999999967</c:v>
                </c:pt>
                <c:pt idx="189">
                  <c:v>8.8999999999999666</c:v>
                </c:pt>
                <c:pt idx="190">
                  <c:v>8.9999999999999662</c:v>
                </c:pt>
                <c:pt idx="191">
                  <c:v>9.0999999999999659</c:v>
                </c:pt>
                <c:pt idx="192">
                  <c:v>9.1999999999999655</c:v>
                </c:pt>
                <c:pt idx="193">
                  <c:v>9.2999999999999652</c:v>
                </c:pt>
                <c:pt idx="194">
                  <c:v>9.3999999999999648</c:v>
                </c:pt>
                <c:pt idx="195">
                  <c:v>9.4999999999999645</c:v>
                </c:pt>
                <c:pt idx="196">
                  <c:v>9.5999999999999641</c:v>
                </c:pt>
                <c:pt idx="197">
                  <c:v>9.6999999999999638</c:v>
                </c:pt>
                <c:pt idx="198">
                  <c:v>9.7999999999999634</c:v>
                </c:pt>
                <c:pt idx="199">
                  <c:v>9.8999999999999631</c:v>
                </c:pt>
                <c:pt idx="200">
                  <c:v>9.9999999999999627</c:v>
                </c:pt>
                <c:pt idx="201">
                  <c:v>10.099999999999962</c:v>
                </c:pt>
              </c:numCache>
            </c:numRef>
          </c:cat>
          <c:val>
            <c:numRef>
              <c:f>'NT 1'!$D$8:$D$209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'NT 1'!$E$7</c:f>
              <c:strCache>
                <c:ptCount val="1"/>
                <c:pt idx="0">
                  <c:v>ncp 6</c:v>
                </c:pt>
              </c:strCache>
            </c:strRef>
          </c:tx>
          <c:marker>
            <c:symbol val="none"/>
          </c:marker>
          <c:cat>
            <c:numRef>
              <c:f>'NT 1'!$A$8:$A$209</c:f>
              <c:numCache>
                <c:formatCode>General</c:formatCode>
                <c:ptCount val="202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-9.7000000000000011</c:v>
                </c:pt>
                <c:pt idx="4">
                  <c:v>-9.6000000000000014</c:v>
                </c:pt>
                <c:pt idx="5">
                  <c:v>-9.5000000000000018</c:v>
                </c:pt>
                <c:pt idx="6">
                  <c:v>-9.4000000000000021</c:v>
                </c:pt>
                <c:pt idx="7">
                  <c:v>-9.3000000000000025</c:v>
                </c:pt>
                <c:pt idx="8">
                  <c:v>-9.2000000000000028</c:v>
                </c:pt>
                <c:pt idx="9">
                  <c:v>-9.1000000000000032</c:v>
                </c:pt>
                <c:pt idx="10">
                  <c:v>-9.0000000000000036</c:v>
                </c:pt>
                <c:pt idx="11">
                  <c:v>-8.9000000000000039</c:v>
                </c:pt>
                <c:pt idx="12">
                  <c:v>-8.8000000000000043</c:v>
                </c:pt>
                <c:pt idx="13">
                  <c:v>-8.7000000000000046</c:v>
                </c:pt>
                <c:pt idx="14">
                  <c:v>-8.600000000000005</c:v>
                </c:pt>
                <c:pt idx="15">
                  <c:v>-8.5000000000000053</c:v>
                </c:pt>
                <c:pt idx="16">
                  <c:v>-8.4000000000000057</c:v>
                </c:pt>
                <c:pt idx="17">
                  <c:v>-8.300000000000006</c:v>
                </c:pt>
                <c:pt idx="18">
                  <c:v>-8.2000000000000064</c:v>
                </c:pt>
                <c:pt idx="19">
                  <c:v>-8.1000000000000068</c:v>
                </c:pt>
                <c:pt idx="20">
                  <c:v>-8.0000000000000071</c:v>
                </c:pt>
                <c:pt idx="21">
                  <c:v>-7.9000000000000075</c:v>
                </c:pt>
                <c:pt idx="22">
                  <c:v>-7.8000000000000078</c:v>
                </c:pt>
                <c:pt idx="23">
                  <c:v>-7.7000000000000082</c:v>
                </c:pt>
                <c:pt idx="24">
                  <c:v>-7.6000000000000085</c:v>
                </c:pt>
                <c:pt idx="25">
                  <c:v>-7.5000000000000089</c:v>
                </c:pt>
                <c:pt idx="26">
                  <c:v>-7.4000000000000092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-7.0000000000000107</c:v>
                </c:pt>
                <c:pt idx="31">
                  <c:v>-6.900000000000011</c:v>
                </c:pt>
                <c:pt idx="32">
                  <c:v>-6.8000000000000114</c:v>
                </c:pt>
                <c:pt idx="33">
                  <c:v>-6.7000000000000117</c:v>
                </c:pt>
                <c:pt idx="34">
                  <c:v>-6.6000000000000121</c:v>
                </c:pt>
                <c:pt idx="35">
                  <c:v>-6.5000000000000124</c:v>
                </c:pt>
                <c:pt idx="36">
                  <c:v>-6.4000000000000128</c:v>
                </c:pt>
                <c:pt idx="37">
                  <c:v>-6.3000000000000131</c:v>
                </c:pt>
                <c:pt idx="38">
                  <c:v>-6.2000000000000135</c:v>
                </c:pt>
                <c:pt idx="39">
                  <c:v>-6.1000000000000139</c:v>
                </c:pt>
                <c:pt idx="40">
                  <c:v>-6.0000000000000142</c:v>
                </c:pt>
                <c:pt idx="41">
                  <c:v>-5.9000000000000146</c:v>
                </c:pt>
                <c:pt idx="42">
                  <c:v>-5.8000000000000149</c:v>
                </c:pt>
                <c:pt idx="43">
                  <c:v>-5.7000000000000153</c:v>
                </c:pt>
                <c:pt idx="44">
                  <c:v>-5.6000000000000156</c:v>
                </c:pt>
                <c:pt idx="45">
                  <c:v>-5.500000000000016</c:v>
                </c:pt>
                <c:pt idx="46">
                  <c:v>-5.4000000000000163</c:v>
                </c:pt>
                <c:pt idx="47">
                  <c:v>-5.3000000000000167</c:v>
                </c:pt>
                <c:pt idx="48">
                  <c:v>-5.2000000000000171</c:v>
                </c:pt>
                <c:pt idx="49">
                  <c:v>-5.1000000000000174</c:v>
                </c:pt>
                <c:pt idx="50">
                  <c:v>-5.0000000000000178</c:v>
                </c:pt>
                <c:pt idx="51">
                  <c:v>-4.9000000000000181</c:v>
                </c:pt>
                <c:pt idx="52">
                  <c:v>-4.8000000000000185</c:v>
                </c:pt>
                <c:pt idx="53">
                  <c:v>-4.7000000000000188</c:v>
                </c:pt>
                <c:pt idx="54">
                  <c:v>-4.6000000000000192</c:v>
                </c:pt>
                <c:pt idx="55">
                  <c:v>-4.5000000000000195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-4.2000000000000206</c:v>
                </c:pt>
                <c:pt idx="59">
                  <c:v>-4.100000000000021</c:v>
                </c:pt>
                <c:pt idx="60">
                  <c:v>-4.0000000000000213</c:v>
                </c:pt>
                <c:pt idx="61">
                  <c:v>-3.9000000000000212</c:v>
                </c:pt>
                <c:pt idx="62">
                  <c:v>-3.8000000000000211</c:v>
                </c:pt>
                <c:pt idx="63">
                  <c:v>-3.700000000000021</c:v>
                </c:pt>
                <c:pt idx="64">
                  <c:v>-3.600000000000021</c:v>
                </c:pt>
                <c:pt idx="65">
                  <c:v>-3.5000000000000209</c:v>
                </c:pt>
                <c:pt idx="66">
                  <c:v>-3.4000000000000208</c:v>
                </c:pt>
                <c:pt idx="67">
                  <c:v>-3.3000000000000207</c:v>
                </c:pt>
                <c:pt idx="68">
                  <c:v>-3.2000000000000206</c:v>
                </c:pt>
                <c:pt idx="69">
                  <c:v>-3.1000000000000205</c:v>
                </c:pt>
                <c:pt idx="70">
                  <c:v>-3.0000000000000204</c:v>
                </c:pt>
                <c:pt idx="71">
                  <c:v>-2.9000000000000203</c:v>
                </c:pt>
                <c:pt idx="72">
                  <c:v>-2.8000000000000203</c:v>
                </c:pt>
                <c:pt idx="73">
                  <c:v>-2.7000000000000202</c:v>
                </c:pt>
                <c:pt idx="74">
                  <c:v>-2.6000000000000201</c:v>
                </c:pt>
                <c:pt idx="75">
                  <c:v>-2.50000000000002</c:v>
                </c:pt>
                <c:pt idx="76">
                  <c:v>-2.4000000000000199</c:v>
                </c:pt>
                <c:pt idx="77">
                  <c:v>-2.3000000000000198</c:v>
                </c:pt>
                <c:pt idx="78">
                  <c:v>-2.2000000000000197</c:v>
                </c:pt>
                <c:pt idx="79">
                  <c:v>-2.1000000000000196</c:v>
                </c:pt>
                <c:pt idx="80">
                  <c:v>-2.0000000000000195</c:v>
                </c:pt>
                <c:pt idx="81">
                  <c:v>-1.9000000000000195</c:v>
                </c:pt>
                <c:pt idx="82">
                  <c:v>-1.8000000000000194</c:v>
                </c:pt>
                <c:pt idx="83">
                  <c:v>-1.7000000000000193</c:v>
                </c:pt>
                <c:pt idx="84">
                  <c:v>-1.6000000000000192</c:v>
                </c:pt>
                <c:pt idx="85">
                  <c:v>-1.5000000000000191</c:v>
                </c:pt>
                <c:pt idx="86">
                  <c:v>-1.400000000000019</c:v>
                </c:pt>
                <c:pt idx="87">
                  <c:v>-1.3000000000000189</c:v>
                </c:pt>
                <c:pt idx="88">
                  <c:v>-1.2000000000000188</c:v>
                </c:pt>
                <c:pt idx="89">
                  <c:v>-1.1000000000000187</c:v>
                </c:pt>
                <c:pt idx="90">
                  <c:v>-1.0000000000000187</c:v>
                </c:pt>
                <c:pt idx="91">
                  <c:v>-0.90000000000001867</c:v>
                </c:pt>
                <c:pt idx="92">
                  <c:v>-0.8000000000000187</c:v>
                </c:pt>
                <c:pt idx="93">
                  <c:v>-0.70000000000001872</c:v>
                </c:pt>
                <c:pt idx="94">
                  <c:v>-0.60000000000001874</c:v>
                </c:pt>
                <c:pt idx="95">
                  <c:v>-0.50000000000001876</c:v>
                </c:pt>
                <c:pt idx="96">
                  <c:v>-0.40000000000001878</c:v>
                </c:pt>
                <c:pt idx="97">
                  <c:v>-0.30000000000001881</c:v>
                </c:pt>
                <c:pt idx="98">
                  <c:v>-0.2000000000000188</c:v>
                </c:pt>
                <c:pt idx="99">
                  <c:v>-0.1000000000000188</c:v>
                </c:pt>
                <c:pt idx="100">
                  <c:v>-1.8790524691780774E-14</c:v>
                </c:pt>
                <c:pt idx="101">
                  <c:v>9.9999999999981215E-2</c:v>
                </c:pt>
                <c:pt idx="102">
                  <c:v>0.19999999999998122</c:v>
                </c:pt>
                <c:pt idx="103">
                  <c:v>0.29999999999998123</c:v>
                </c:pt>
                <c:pt idx="104">
                  <c:v>0.39999999999998126</c:v>
                </c:pt>
                <c:pt idx="105">
                  <c:v>0.49999999999998124</c:v>
                </c:pt>
                <c:pt idx="106">
                  <c:v>0.59999999999998122</c:v>
                </c:pt>
                <c:pt idx="107">
                  <c:v>0.69999999999998119</c:v>
                </c:pt>
                <c:pt idx="108">
                  <c:v>0.79999999999998117</c:v>
                </c:pt>
                <c:pt idx="109">
                  <c:v>0.89999999999998115</c:v>
                </c:pt>
                <c:pt idx="110">
                  <c:v>0.99999999999998113</c:v>
                </c:pt>
                <c:pt idx="111">
                  <c:v>1.0999999999999812</c:v>
                </c:pt>
                <c:pt idx="112">
                  <c:v>1.1999999999999813</c:v>
                </c:pt>
                <c:pt idx="113">
                  <c:v>1.2999999999999814</c:v>
                </c:pt>
                <c:pt idx="114">
                  <c:v>1.3999999999999815</c:v>
                </c:pt>
                <c:pt idx="115">
                  <c:v>1.4999999999999816</c:v>
                </c:pt>
                <c:pt idx="116">
                  <c:v>1.5999999999999817</c:v>
                </c:pt>
                <c:pt idx="117">
                  <c:v>1.6999999999999817</c:v>
                </c:pt>
                <c:pt idx="118">
                  <c:v>1.7999999999999818</c:v>
                </c:pt>
                <c:pt idx="119">
                  <c:v>1.8999999999999819</c:v>
                </c:pt>
                <c:pt idx="120">
                  <c:v>1.999999999999982</c:v>
                </c:pt>
                <c:pt idx="121">
                  <c:v>2.0999999999999819</c:v>
                </c:pt>
                <c:pt idx="122">
                  <c:v>2.199999999999982</c:v>
                </c:pt>
                <c:pt idx="123">
                  <c:v>2.2999999999999821</c:v>
                </c:pt>
                <c:pt idx="124">
                  <c:v>2.3999999999999821</c:v>
                </c:pt>
                <c:pt idx="125">
                  <c:v>2.4999999999999822</c:v>
                </c:pt>
                <c:pt idx="126">
                  <c:v>2.5999999999999823</c:v>
                </c:pt>
                <c:pt idx="127">
                  <c:v>2.6999999999999824</c:v>
                </c:pt>
                <c:pt idx="128">
                  <c:v>2.7999999999999825</c:v>
                </c:pt>
                <c:pt idx="129">
                  <c:v>2.8999999999999826</c:v>
                </c:pt>
                <c:pt idx="130">
                  <c:v>2.9999999999999827</c:v>
                </c:pt>
                <c:pt idx="131">
                  <c:v>3.0999999999999828</c:v>
                </c:pt>
                <c:pt idx="132">
                  <c:v>3.1999999999999829</c:v>
                </c:pt>
                <c:pt idx="133">
                  <c:v>3.2999999999999829</c:v>
                </c:pt>
                <c:pt idx="134">
                  <c:v>3.399999999999983</c:v>
                </c:pt>
                <c:pt idx="135">
                  <c:v>3.4999999999999831</c:v>
                </c:pt>
                <c:pt idx="136">
                  <c:v>3.5999999999999832</c:v>
                </c:pt>
                <c:pt idx="137">
                  <c:v>3.6999999999999833</c:v>
                </c:pt>
                <c:pt idx="138">
                  <c:v>3.7999999999999834</c:v>
                </c:pt>
                <c:pt idx="139">
                  <c:v>3.8999999999999835</c:v>
                </c:pt>
                <c:pt idx="140">
                  <c:v>3.9999999999999836</c:v>
                </c:pt>
                <c:pt idx="141">
                  <c:v>4.0999999999999837</c:v>
                </c:pt>
                <c:pt idx="142">
                  <c:v>4.1999999999999833</c:v>
                </c:pt>
                <c:pt idx="143">
                  <c:v>4.2999999999999829</c:v>
                </c:pt>
                <c:pt idx="144">
                  <c:v>4.3999999999999826</c:v>
                </c:pt>
                <c:pt idx="145">
                  <c:v>4.4999999999999822</c:v>
                </c:pt>
                <c:pt idx="146">
                  <c:v>4.5999999999999819</c:v>
                </c:pt>
                <c:pt idx="147">
                  <c:v>4.6999999999999815</c:v>
                </c:pt>
                <c:pt idx="148">
                  <c:v>4.7999999999999812</c:v>
                </c:pt>
                <c:pt idx="149">
                  <c:v>4.8999999999999808</c:v>
                </c:pt>
                <c:pt idx="150">
                  <c:v>4.9999999999999805</c:v>
                </c:pt>
                <c:pt idx="151">
                  <c:v>5.0999999999999801</c:v>
                </c:pt>
                <c:pt idx="152">
                  <c:v>5.1999999999999797</c:v>
                </c:pt>
                <c:pt idx="153">
                  <c:v>5.2999999999999794</c:v>
                </c:pt>
                <c:pt idx="154">
                  <c:v>5.399999999999979</c:v>
                </c:pt>
                <c:pt idx="155">
                  <c:v>5.4999999999999787</c:v>
                </c:pt>
                <c:pt idx="156">
                  <c:v>5.5999999999999783</c:v>
                </c:pt>
                <c:pt idx="157">
                  <c:v>5.699999999999978</c:v>
                </c:pt>
                <c:pt idx="158">
                  <c:v>5.7999999999999776</c:v>
                </c:pt>
                <c:pt idx="159">
                  <c:v>5.8999999999999773</c:v>
                </c:pt>
                <c:pt idx="160">
                  <c:v>5.9999999999999769</c:v>
                </c:pt>
                <c:pt idx="161">
                  <c:v>6.0999999999999766</c:v>
                </c:pt>
                <c:pt idx="162">
                  <c:v>6.1999999999999762</c:v>
                </c:pt>
                <c:pt idx="163">
                  <c:v>6.2999999999999758</c:v>
                </c:pt>
                <c:pt idx="164">
                  <c:v>6.3999999999999755</c:v>
                </c:pt>
                <c:pt idx="165">
                  <c:v>6.4999999999999751</c:v>
                </c:pt>
                <c:pt idx="166">
                  <c:v>6.5999999999999748</c:v>
                </c:pt>
                <c:pt idx="167">
                  <c:v>6.6999999999999744</c:v>
                </c:pt>
                <c:pt idx="168">
                  <c:v>6.7999999999999741</c:v>
                </c:pt>
                <c:pt idx="169">
                  <c:v>6.8999999999999737</c:v>
                </c:pt>
                <c:pt idx="170">
                  <c:v>6.9999999999999734</c:v>
                </c:pt>
                <c:pt idx="171">
                  <c:v>7.099999999999973</c:v>
                </c:pt>
                <c:pt idx="172">
                  <c:v>7.1999999999999726</c:v>
                </c:pt>
                <c:pt idx="173">
                  <c:v>7.2999999999999723</c:v>
                </c:pt>
                <c:pt idx="174">
                  <c:v>7.3999999999999719</c:v>
                </c:pt>
                <c:pt idx="175">
                  <c:v>7.4999999999999716</c:v>
                </c:pt>
                <c:pt idx="176">
                  <c:v>7.5999999999999712</c:v>
                </c:pt>
                <c:pt idx="177">
                  <c:v>7.6999999999999709</c:v>
                </c:pt>
                <c:pt idx="178">
                  <c:v>7.7999999999999705</c:v>
                </c:pt>
                <c:pt idx="179">
                  <c:v>7.8999999999999702</c:v>
                </c:pt>
                <c:pt idx="180">
                  <c:v>7.9999999999999698</c:v>
                </c:pt>
                <c:pt idx="181">
                  <c:v>8.0999999999999694</c:v>
                </c:pt>
                <c:pt idx="182">
                  <c:v>8.1999999999999691</c:v>
                </c:pt>
                <c:pt idx="183">
                  <c:v>8.2999999999999687</c:v>
                </c:pt>
                <c:pt idx="184">
                  <c:v>8.3999999999999684</c:v>
                </c:pt>
                <c:pt idx="185">
                  <c:v>8.499999999999968</c:v>
                </c:pt>
                <c:pt idx="186">
                  <c:v>8.5999999999999677</c:v>
                </c:pt>
                <c:pt idx="187">
                  <c:v>8.6999999999999673</c:v>
                </c:pt>
                <c:pt idx="188">
                  <c:v>8.799999999999967</c:v>
                </c:pt>
                <c:pt idx="189">
                  <c:v>8.8999999999999666</c:v>
                </c:pt>
                <c:pt idx="190">
                  <c:v>8.9999999999999662</c:v>
                </c:pt>
                <c:pt idx="191">
                  <c:v>9.0999999999999659</c:v>
                </c:pt>
                <c:pt idx="192">
                  <c:v>9.1999999999999655</c:v>
                </c:pt>
                <c:pt idx="193">
                  <c:v>9.2999999999999652</c:v>
                </c:pt>
                <c:pt idx="194">
                  <c:v>9.3999999999999648</c:v>
                </c:pt>
                <c:pt idx="195">
                  <c:v>9.4999999999999645</c:v>
                </c:pt>
                <c:pt idx="196">
                  <c:v>9.5999999999999641</c:v>
                </c:pt>
                <c:pt idx="197">
                  <c:v>9.6999999999999638</c:v>
                </c:pt>
                <c:pt idx="198">
                  <c:v>9.7999999999999634</c:v>
                </c:pt>
                <c:pt idx="199">
                  <c:v>9.8999999999999631</c:v>
                </c:pt>
                <c:pt idx="200">
                  <c:v>9.9999999999999627</c:v>
                </c:pt>
                <c:pt idx="201">
                  <c:v>10.099999999999962</c:v>
                </c:pt>
              </c:numCache>
            </c:numRef>
          </c:cat>
          <c:val>
            <c:numRef>
              <c:f>'NT 1'!$E$8:$E$209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80584"/>
        <c:axId val="459772352"/>
      </c:lineChart>
      <c:catAx>
        <c:axId val="45978058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crossAx val="459772352"/>
        <c:crosses val="autoZero"/>
        <c:auto val="1"/>
        <c:lblAlgn val="ctr"/>
        <c:lblOffset val="100"/>
        <c:tickMarkSkip val="20"/>
        <c:noMultiLvlLbl val="0"/>
      </c:catAx>
      <c:valAx>
        <c:axId val="459772352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459780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Noncentral t pdf (ncp</a:t>
            </a:r>
            <a:r>
              <a:rPr lang="en-US" baseline="0"/>
              <a:t> = 2)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'NT 1'!$R$7</c:f>
              <c:strCache>
                <c:ptCount val="1"/>
                <c:pt idx="0">
                  <c:v>df 1</c:v>
                </c:pt>
              </c:strCache>
            </c:strRef>
          </c:tx>
          <c:marker>
            <c:symbol val="none"/>
          </c:marker>
          <c:cat>
            <c:numRef>
              <c:f>'NT 1'!$Q$8:$Q$209</c:f>
              <c:numCache>
                <c:formatCode>General</c:formatCode>
                <c:ptCount val="202"/>
                <c:pt idx="0">
                  <c:v>-6</c:v>
                </c:pt>
                <c:pt idx="1">
                  <c:v>-5.9</c:v>
                </c:pt>
                <c:pt idx="2">
                  <c:v>-5.8000000000000007</c:v>
                </c:pt>
                <c:pt idx="3">
                  <c:v>-5.7000000000000011</c:v>
                </c:pt>
                <c:pt idx="4">
                  <c:v>-5.6000000000000014</c:v>
                </c:pt>
                <c:pt idx="5">
                  <c:v>-5.5000000000000018</c:v>
                </c:pt>
                <c:pt idx="6">
                  <c:v>-5.4000000000000021</c:v>
                </c:pt>
                <c:pt idx="7">
                  <c:v>-5.3000000000000025</c:v>
                </c:pt>
                <c:pt idx="8">
                  <c:v>-5.2000000000000028</c:v>
                </c:pt>
                <c:pt idx="9">
                  <c:v>-5.1000000000000032</c:v>
                </c:pt>
                <c:pt idx="10">
                  <c:v>-5.0000000000000036</c:v>
                </c:pt>
                <c:pt idx="11">
                  <c:v>-4.9000000000000039</c:v>
                </c:pt>
                <c:pt idx="12">
                  <c:v>-4.8000000000000043</c:v>
                </c:pt>
                <c:pt idx="13">
                  <c:v>-4.7000000000000046</c:v>
                </c:pt>
                <c:pt idx="14">
                  <c:v>-4.600000000000005</c:v>
                </c:pt>
                <c:pt idx="15">
                  <c:v>-4.5000000000000053</c:v>
                </c:pt>
                <c:pt idx="16">
                  <c:v>-4.4000000000000057</c:v>
                </c:pt>
                <c:pt idx="17">
                  <c:v>-4.300000000000006</c:v>
                </c:pt>
                <c:pt idx="18">
                  <c:v>-4.2000000000000064</c:v>
                </c:pt>
                <c:pt idx="19">
                  <c:v>-4.1000000000000068</c:v>
                </c:pt>
                <c:pt idx="20">
                  <c:v>-4.0000000000000071</c:v>
                </c:pt>
                <c:pt idx="21">
                  <c:v>-3.900000000000007</c:v>
                </c:pt>
                <c:pt idx="22">
                  <c:v>-3.8000000000000069</c:v>
                </c:pt>
                <c:pt idx="23">
                  <c:v>-3.7000000000000068</c:v>
                </c:pt>
                <c:pt idx="24">
                  <c:v>-3.6000000000000068</c:v>
                </c:pt>
                <c:pt idx="25">
                  <c:v>-3.5000000000000067</c:v>
                </c:pt>
                <c:pt idx="26">
                  <c:v>-3.4000000000000066</c:v>
                </c:pt>
                <c:pt idx="27">
                  <c:v>-3.3000000000000065</c:v>
                </c:pt>
                <c:pt idx="28">
                  <c:v>-3.2000000000000064</c:v>
                </c:pt>
                <c:pt idx="29">
                  <c:v>-3.1000000000000063</c:v>
                </c:pt>
                <c:pt idx="30">
                  <c:v>-3.0000000000000062</c:v>
                </c:pt>
                <c:pt idx="31">
                  <c:v>-2.9000000000000061</c:v>
                </c:pt>
                <c:pt idx="32">
                  <c:v>-2.800000000000006</c:v>
                </c:pt>
                <c:pt idx="33">
                  <c:v>-2.700000000000006</c:v>
                </c:pt>
                <c:pt idx="34">
                  <c:v>-2.6000000000000059</c:v>
                </c:pt>
                <c:pt idx="35">
                  <c:v>-2.5000000000000058</c:v>
                </c:pt>
                <c:pt idx="36">
                  <c:v>-2.4000000000000057</c:v>
                </c:pt>
                <c:pt idx="37">
                  <c:v>-2.3000000000000056</c:v>
                </c:pt>
                <c:pt idx="38">
                  <c:v>-2.2000000000000055</c:v>
                </c:pt>
                <c:pt idx="39">
                  <c:v>-2.1000000000000054</c:v>
                </c:pt>
                <c:pt idx="40">
                  <c:v>-2.0000000000000053</c:v>
                </c:pt>
                <c:pt idx="41">
                  <c:v>-1.9000000000000052</c:v>
                </c:pt>
                <c:pt idx="42">
                  <c:v>-1.8000000000000052</c:v>
                </c:pt>
                <c:pt idx="43">
                  <c:v>-1.7000000000000051</c:v>
                </c:pt>
                <c:pt idx="44">
                  <c:v>-1.600000000000005</c:v>
                </c:pt>
                <c:pt idx="45">
                  <c:v>-1.5000000000000049</c:v>
                </c:pt>
                <c:pt idx="46">
                  <c:v>-1.4000000000000048</c:v>
                </c:pt>
                <c:pt idx="47">
                  <c:v>-1.3000000000000047</c:v>
                </c:pt>
                <c:pt idx="48">
                  <c:v>-1.2000000000000046</c:v>
                </c:pt>
                <c:pt idx="49">
                  <c:v>-1.1000000000000045</c:v>
                </c:pt>
                <c:pt idx="50">
                  <c:v>-1.0000000000000044</c:v>
                </c:pt>
                <c:pt idx="51">
                  <c:v>-0.90000000000000446</c:v>
                </c:pt>
                <c:pt idx="52">
                  <c:v>-0.80000000000000449</c:v>
                </c:pt>
                <c:pt idx="53">
                  <c:v>-0.70000000000000451</c:v>
                </c:pt>
                <c:pt idx="54">
                  <c:v>-0.60000000000000453</c:v>
                </c:pt>
                <c:pt idx="55">
                  <c:v>-0.50000000000000455</c:v>
                </c:pt>
                <c:pt idx="56">
                  <c:v>-0.40000000000000457</c:v>
                </c:pt>
                <c:pt idx="57">
                  <c:v>-0.3000000000000046</c:v>
                </c:pt>
                <c:pt idx="58">
                  <c:v>-0.20000000000000459</c:v>
                </c:pt>
                <c:pt idx="59">
                  <c:v>-0.10000000000000459</c:v>
                </c:pt>
                <c:pt idx="60">
                  <c:v>-4.5796699765787707E-15</c:v>
                </c:pt>
                <c:pt idx="61">
                  <c:v>9.9999999999995426E-2</c:v>
                </c:pt>
                <c:pt idx="62">
                  <c:v>0.19999999999999543</c:v>
                </c:pt>
                <c:pt idx="63">
                  <c:v>0.29999999999999544</c:v>
                </c:pt>
                <c:pt idx="64">
                  <c:v>0.39999999999999547</c:v>
                </c:pt>
                <c:pt idx="65">
                  <c:v>0.49999999999999545</c:v>
                </c:pt>
                <c:pt idx="66">
                  <c:v>0.59999999999999543</c:v>
                </c:pt>
                <c:pt idx="67">
                  <c:v>0.6999999999999954</c:v>
                </c:pt>
                <c:pt idx="68">
                  <c:v>0.79999999999999538</c:v>
                </c:pt>
                <c:pt idx="69">
                  <c:v>0.89999999999999536</c:v>
                </c:pt>
                <c:pt idx="70">
                  <c:v>0.99999999999999534</c:v>
                </c:pt>
                <c:pt idx="71">
                  <c:v>1.0999999999999954</c:v>
                </c:pt>
                <c:pt idx="72">
                  <c:v>1.1999999999999955</c:v>
                </c:pt>
                <c:pt idx="73">
                  <c:v>1.2999999999999956</c:v>
                </c:pt>
                <c:pt idx="74">
                  <c:v>1.3999999999999957</c:v>
                </c:pt>
                <c:pt idx="75">
                  <c:v>1.4999999999999958</c:v>
                </c:pt>
                <c:pt idx="76">
                  <c:v>1.5999999999999959</c:v>
                </c:pt>
                <c:pt idx="77">
                  <c:v>1.699999999999996</c:v>
                </c:pt>
                <c:pt idx="78">
                  <c:v>1.799999999999996</c:v>
                </c:pt>
                <c:pt idx="79">
                  <c:v>1.8999999999999961</c:v>
                </c:pt>
                <c:pt idx="80">
                  <c:v>1.9999999999999962</c:v>
                </c:pt>
                <c:pt idx="81">
                  <c:v>2.0999999999999961</c:v>
                </c:pt>
                <c:pt idx="82">
                  <c:v>2.1999999999999962</c:v>
                </c:pt>
                <c:pt idx="83">
                  <c:v>2.2999999999999963</c:v>
                </c:pt>
                <c:pt idx="84">
                  <c:v>2.3999999999999964</c:v>
                </c:pt>
                <c:pt idx="85">
                  <c:v>2.4999999999999964</c:v>
                </c:pt>
                <c:pt idx="86">
                  <c:v>2.5999999999999965</c:v>
                </c:pt>
                <c:pt idx="87">
                  <c:v>2.6999999999999966</c:v>
                </c:pt>
                <c:pt idx="88">
                  <c:v>2.7999999999999967</c:v>
                </c:pt>
                <c:pt idx="89">
                  <c:v>2.8999999999999968</c:v>
                </c:pt>
                <c:pt idx="90">
                  <c:v>2.9999999999999969</c:v>
                </c:pt>
                <c:pt idx="91">
                  <c:v>3.099999999999997</c:v>
                </c:pt>
                <c:pt idx="92">
                  <c:v>3.1999999999999971</c:v>
                </c:pt>
                <c:pt idx="93">
                  <c:v>3.2999999999999972</c:v>
                </c:pt>
                <c:pt idx="94">
                  <c:v>3.3999999999999972</c:v>
                </c:pt>
                <c:pt idx="95">
                  <c:v>3.4999999999999973</c:v>
                </c:pt>
                <c:pt idx="96">
                  <c:v>3.5999999999999974</c:v>
                </c:pt>
                <c:pt idx="97">
                  <c:v>3.6999999999999975</c:v>
                </c:pt>
                <c:pt idx="98">
                  <c:v>3.7999999999999976</c:v>
                </c:pt>
                <c:pt idx="99">
                  <c:v>3.8999999999999977</c:v>
                </c:pt>
                <c:pt idx="100">
                  <c:v>3.9999999999999978</c:v>
                </c:pt>
                <c:pt idx="101">
                  <c:v>4.0999999999999979</c:v>
                </c:pt>
                <c:pt idx="102">
                  <c:v>4.1999999999999975</c:v>
                </c:pt>
                <c:pt idx="103">
                  <c:v>4.2999999999999972</c:v>
                </c:pt>
                <c:pt idx="104">
                  <c:v>4.3999999999999968</c:v>
                </c:pt>
                <c:pt idx="105">
                  <c:v>4.4999999999999964</c:v>
                </c:pt>
                <c:pt idx="106">
                  <c:v>4.5999999999999961</c:v>
                </c:pt>
                <c:pt idx="107">
                  <c:v>4.6999999999999957</c:v>
                </c:pt>
                <c:pt idx="108">
                  <c:v>4.7999999999999954</c:v>
                </c:pt>
                <c:pt idx="109">
                  <c:v>4.899999999999995</c:v>
                </c:pt>
                <c:pt idx="110">
                  <c:v>4.9999999999999947</c:v>
                </c:pt>
                <c:pt idx="111">
                  <c:v>5.0999999999999943</c:v>
                </c:pt>
                <c:pt idx="112">
                  <c:v>5.199999999999994</c:v>
                </c:pt>
                <c:pt idx="113">
                  <c:v>5.2999999999999936</c:v>
                </c:pt>
                <c:pt idx="114">
                  <c:v>5.3999999999999932</c:v>
                </c:pt>
                <c:pt idx="115">
                  <c:v>5.4999999999999929</c:v>
                </c:pt>
                <c:pt idx="116">
                  <c:v>5.5999999999999925</c:v>
                </c:pt>
                <c:pt idx="117">
                  <c:v>5.6999999999999922</c:v>
                </c:pt>
                <c:pt idx="118">
                  <c:v>5.7999999999999918</c:v>
                </c:pt>
                <c:pt idx="119">
                  <c:v>5.8999999999999915</c:v>
                </c:pt>
                <c:pt idx="120">
                  <c:v>5.9999999999999911</c:v>
                </c:pt>
                <c:pt idx="121">
                  <c:v>6.0999999999999908</c:v>
                </c:pt>
                <c:pt idx="122">
                  <c:v>6.1999999999999904</c:v>
                </c:pt>
                <c:pt idx="123">
                  <c:v>6.2999999999999901</c:v>
                </c:pt>
                <c:pt idx="124">
                  <c:v>6.3999999999999897</c:v>
                </c:pt>
                <c:pt idx="125">
                  <c:v>6.4999999999999893</c:v>
                </c:pt>
                <c:pt idx="126">
                  <c:v>6.599999999999989</c:v>
                </c:pt>
                <c:pt idx="127">
                  <c:v>6.6999999999999886</c:v>
                </c:pt>
                <c:pt idx="128">
                  <c:v>6.7999999999999883</c:v>
                </c:pt>
                <c:pt idx="129">
                  <c:v>6.8999999999999879</c:v>
                </c:pt>
                <c:pt idx="130">
                  <c:v>6.9999999999999876</c:v>
                </c:pt>
                <c:pt idx="131">
                  <c:v>7.0999999999999872</c:v>
                </c:pt>
                <c:pt idx="132">
                  <c:v>7.1999999999999869</c:v>
                </c:pt>
                <c:pt idx="133">
                  <c:v>7.2999999999999865</c:v>
                </c:pt>
                <c:pt idx="134">
                  <c:v>7.3999999999999861</c:v>
                </c:pt>
                <c:pt idx="135">
                  <c:v>7.4999999999999858</c:v>
                </c:pt>
                <c:pt idx="136">
                  <c:v>7.5999999999999854</c:v>
                </c:pt>
                <c:pt idx="137">
                  <c:v>7.6999999999999851</c:v>
                </c:pt>
                <c:pt idx="138">
                  <c:v>7.7999999999999847</c:v>
                </c:pt>
                <c:pt idx="139">
                  <c:v>7.8999999999999844</c:v>
                </c:pt>
                <c:pt idx="140">
                  <c:v>7.999999999999984</c:v>
                </c:pt>
                <c:pt idx="141">
                  <c:v>8.0999999999999837</c:v>
                </c:pt>
                <c:pt idx="142">
                  <c:v>8.1999999999999833</c:v>
                </c:pt>
                <c:pt idx="143">
                  <c:v>8.2999999999999829</c:v>
                </c:pt>
                <c:pt idx="144">
                  <c:v>8.3999999999999826</c:v>
                </c:pt>
                <c:pt idx="145">
                  <c:v>8.4999999999999822</c:v>
                </c:pt>
                <c:pt idx="146">
                  <c:v>8.5999999999999819</c:v>
                </c:pt>
                <c:pt idx="147">
                  <c:v>8.6999999999999815</c:v>
                </c:pt>
                <c:pt idx="148">
                  <c:v>8.7999999999999812</c:v>
                </c:pt>
                <c:pt idx="149">
                  <c:v>8.8999999999999808</c:v>
                </c:pt>
                <c:pt idx="150">
                  <c:v>8.9999999999999805</c:v>
                </c:pt>
                <c:pt idx="151">
                  <c:v>9.0999999999999801</c:v>
                </c:pt>
                <c:pt idx="152">
                  <c:v>9.1999999999999797</c:v>
                </c:pt>
                <c:pt idx="153">
                  <c:v>9.2999999999999794</c:v>
                </c:pt>
                <c:pt idx="154">
                  <c:v>9.399999999999979</c:v>
                </c:pt>
                <c:pt idx="155">
                  <c:v>9.4999999999999787</c:v>
                </c:pt>
                <c:pt idx="156">
                  <c:v>9.5999999999999783</c:v>
                </c:pt>
                <c:pt idx="157">
                  <c:v>9.699999999999978</c:v>
                </c:pt>
                <c:pt idx="158">
                  <c:v>9.7999999999999776</c:v>
                </c:pt>
                <c:pt idx="159">
                  <c:v>9.8999999999999773</c:v>
                </c:pt>
                <c:pt idx="160">
                  <c:v>9.9999999999999769</c:v>
                </c:pt>
                <c:pt idx="161">
                  <c:v>10.099999999999977</c:v>
                </c:pt>
                <c:pt idx="162">
                  <c:v>10.199999999999976</c:v>
                </c:pt>
                <c:pt idx="163">
                  <c:v>10.299999999999976</c:v>
                </c:pt>
                <c:pt idx="164">
                  <c:v>10.399999999999975</c:v>
                </c:pt>
                <c:pt idx="165">
                  <c:v>10.499999999999975</c:v>
                </c:pt>
                <c:pt idx="166">
                  <c:v>10.599999999999975</c:v>
                </c:pt>
                <c:pt idx="167">
                  <c:v>10.699999999999974</c:v>
                </c:pt>
                <c:pt idx="168">
                  <c:v>10.799999999999974</c:v>
                </c:pt>
                <c:pt idx="169">
                  <c:v>10.899999999999974</c:v>
                </c:pt>
                <c:pt idx="170">
                  <c:v>10.999999999999973</c:v>
                </c:pt>
                <c:pt idx="171">
                  <c:v>11.099999999999973</c:v>
                </c:pt>
                <c:pt idx="172">
                  <c:v>11.199999999999973</c:v>
                </c:pt>
                <c:pt idx="173">
                  <c:v>11.299999999999972</c:v>
                </c:pt>
                <c:pt idx="174">
                  <c:v>11.399999999999972</c:v>
                </c:pt>
                <c:pt idx="175">
                  <c:v>11.499999999999972</c:v>
                </c:pt>
                <c:pt idx="176">
                  <c:v>11.599999999999971</c:v>
                </c:pt>
                <c:pt idx="177">
                  <c:v>11.699999999999971</c:v>
                </c:pt>
                <c:pt idx="178">
                  <c:v>11.799999999999971</c:v>
                </c:pt>
                <c:pt idx="179">
                  <c:v>11.89999999999997</c:v>
                </c:pt>
                <c:pt idx="180">
                  <c:v>11.99999999999997</c:v>
                </c:pt>
                <c:pt idx="181">
                  <c:v>12.099999999999969</c:v>
                </c:pt>
                <c:pt idx="182">
                  <c:v>12.199999999999969</c:v>
                </c:pt>
                <c:pt idx="183">
                  <c:v>12.299999999999969</c:v>
                </c:pt>
                <c:pt idx="184">
                  <c:v>12.399999999999968</c:v>
                </c:pt>
                <c:pt idx="185">
                  <c:v>12.499999999999968</c:v>
                </c:pt>
                <c:pt idx="186">
                  <c:v>12.599999999999968</c:v>
                </c:pt>
                <c:pt idx="187">
                  <c:v>12.699999999999967</c:v>
                </c:pt>
                <c:pt idx="188">
                  <c:v>12.799999999999967</c:v>
                </c:pt>
                <c:pt idx="189">
                  <c:v>12.899999999999967</c:v>
                </c:pt>
                <c:pt idx="190">
                  <c:v>12.999999999999966</c:v>
                </c:pt>
                <c:pt idx="191">
                  <c:v>13.099999999999966</c:v>
                </c:pt>
                <c:pt idx="192">
                  <c:v>13.199999999999966</c:v>
                </c:pt>
                <c:pt idx="193">
                  <c:v>13.299999999999965</c:v>
                </c:pt>
                <c:pt idx="194">
                  <c:v>13.399999999999965</c:v>
                </c:pt>
                <c:pt idx="195">
                  <c:v>13.499999999999964</c:v>
                </c:pt>
                <c:pt idx="196">
                  <c:v>13.599999999999964</c:v>
                </c:pt>
                <c:pt idx="197">
                  <c:v>13.699999999999964</c:v>
                </c:pt>
                <c:pt idx="198">
                  <c:v>13.799999999999963</c:v>
                </c:pt>
                <c:pt idx="199">
                  <c:v>13.899999999999963</c:v>
                </c:pt>
                <c:pt idx="200">
                  <c:v>13.999999999999963</c:v>
                </c:pt>
                <c:pt idx="201">
                  <c:v>14.099999999999962</c:v>
                </c:pt>
              </c:numCache>
            </c:numRef>
          </c:cat>
          <c:val>
            <c:numRef>
              <c:f>'NT 1'!$R$8:$R$209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'NT 1'!$S$7</c:f>
              <c:strCache>
                <c:ptCount val="1"/>
                <c:pt idx="0">
                  <c:v>df 3</c:v>
                </c:pt>
              </c:strCache>
            </c:strRef>
          </c:tx>
          <c:marker>
            <c:symbol val="none"/>
          </c:marker>
          <c:cat>
            <c:numRef>
              <c:f>'NT 1'!$Q$8:$Q$209</c:f>
              <c:numCache>
                <c:formatCode>General</c:formatCode>
                <c:ptCount val="202"/>
                <c:pt idx="0">
                  <c:v>-6</c:v>
                </c:pt>
                <c:pt idx="1">
                  <c:v>-5.9</c:v>
                </c:pt>
                <c:pt idx="2">
                  <c:v>-5.8000000000000007</c:v>
                </c:pt>
                <c:pt idx="3">
                  <c:v>-5.7000000000000011</c:v>
                </c:pt>
                <c:pt idx="4">
                  <c:v>-5.6000000000000014</c:v>
                </c:pt>
                <c:pt idx="5">
                  <c:v>-5.5000000000000018</c:v>
                </c:pt>
                <c:pt idx="6">
                  <c:v>-5.4000000000000021</c:v>
                </c:pt>
                <c:pt idx="7">
                  <c:v>-5.3000000000000025</c:v>
                </c:pt>
                <c:pt idx="8">
                  <c:v>-5.2000000000000028</c:v>
                </c:pt>
                <c:pt idx="9">
                  <c:v>-5.1000000000000032</c:v>
                </c:pt>
                <c:pt idx="10">
                  <c:v>-5.0000000000000036</c:v>
                </c:pt>
                <c:pt idx="11">
                  <c:v>-4.9000000000000039</c:v>
                </c:pt>
                <c:pt idx="12">
                  <c:v>-4.8000000000000043</c:v>
                </c:pt>
                <c:pt idx="13">
                  <c:v>-4.7000000000000046</c:v>
                </c:pt>
                <c:pt idx="14">
                  <c:v>-4.600000000000005</c:v>
                </c:pt>
                <c:pt idx="15">
                  <c:v>-4.5000000000000053</c:v>
                </c:pt>
                <c:pt idx="16">
                  <c:v>-4.4000000000000057</c:v>
                </c:pt>
                <c:pt idx="17">
                  <c:v>-4.300000000000006</c:v>
                </c:pt>
                <c:pt idx="18">
                  <c:v>-4.2000000000000064</c:v>
                </c:pt>
                <c:pt idx="19">
                  <c:v>-4.1000000000000068</c:v>
                </c:pt>
                <c:pt idx="20">
                  <c:v>-4.0000000000000071</c:v>
                </c:pt>
                <c:pt idx="21">
                  <c:v>-3.900000000000007</c:v>
                </c:pt>
                <c:pt idx="22">
                  <c:v>-3.8000000000000069</c:v>
                </c:pt>
                <c:pt idx="23">
                  <c:v>-3.7000000000000068</c:v>
                </c:pt>
                <c:pt idx="24">
                  <c:v>-3.6000000000000068</c:v>
                </c:pt>
                <c:pt idx="25">
                  <c:v>-3.5000000000000067</c:v>
                </c:pt>
                <c:pt idx="26">
                  <c:v>-3.4000000000000066</c:v>
                </c:pt>
                <c:pt idx="27">
                  <c:v>-3.3000000000000065</c:v>
                </c:pt>
                <c:pt idx="28">
                  <c:v>-3.2000000000000064</c:v>
                </c:pt>
                <c:pt idx="29">
                  <c:v>-3.1000000000000063</c:v>
                </c:pt>
                <c:pt idx="30">
                  <c:v>-3.0000000000000062</c:v>
                </c:pt>
                <c:pt idx="31">
                  <c:v>-2.9000000000000061</c:v>
                </c:pt>
                <c:pt idx="32">
                  <c:v>-2.800000000000006</c:v>
                </c:pt>
                <c:pt idx="33">
                  <c:v>-2.700000000000006</c:v>
                </c:pt>
                <c:pt idx="34">
                  <c:v>-2.6000000000000059</c:v>
                </c:pt>
                <c:pt idx="35">
                  <c:v>-2.5000000000000058</c:v>
                </c:pt>
                <c:pt idx="36">
                  <c:v>-2.4000000000000057</c:v>
                </c:pt>
                <c:pt idx="37">
                  <c:v>-2.3000000000000056</c:v>
                </c:pt>
                <c:pt idx="38">
                  <c:v>-2.2000000000000055</c:v>
                </c:pt>
                <c:pt idx="39">
                  <c:v>-2.1000000000000054</c:v>
                </c:pt>
                <c:pt idx="40">
                  <c:v>-2.0000000000000053</c:v>
                </c:pt>
                <c:pt idx="41">
                  <c:v>-1.9000000000000052</c:v>
                </c:pt>
                <c:pt idx="42">
                  <c:v>-1.8000000000000052</c:v>
                </c:pt>
                <c:pt idx="43">
                  <c:v>-1.7000000000000051</c:v>
                </c:pt>
                <c:pt idx="44">
                  <c:v>-1.600000000000005</c:v>
                </c:pt>
                <c:pt idx="45">
                  <c:v>-1.5000000000000049</c:v>
                </c:pt>
                <c:pt idx="46">
                  <c:v>-1.4000000000000048</c:v>
                </c:pt>
                <c:pt idx="47">
                  <c:v>-1.3000000000000047</c:v>
                </c:pt>
                <c:pt idx="48">
                  <c:v>-1.2000000000000046</c:v>
                </c:pt>
                <c:pt idx="49">
                  <c:v>-1.1000000000000045</c:v>
                </c:pt>
                <c:pt idx="50">
                  <c:v>-1.0000000000000044</c:v>
                </c:pt>
                <c:pt idx="51">
                  <c:v>-0.90000000000000446</c:v>
                </c:pt>
                <c:pt idx="52">
                  <c:v>-0.80000000000000449</c:v>
                </c:pt>
                <c:pt idx="53">
                  <c:v>-0.70000000000000451</c:v>
                </c:pt>
                <c:pt idx="54">
                  <c:v>-0.60000000000000453</c:v>
                </c:pt>
                <c:pt idx="55">
                  <c:v>-0.50000000000000455</c:v>
                </c:pt>
                <c:pt idx="56">
                  <c:v>-0.40000000000000457</c:v>
                </c:pt>
                <c:pt idx="57">
                  <c:v>-0.3000000000000046</c:v>
                </c:pt>
                <c:pt idx="58">
                  <c:v>-0.20000000000000459</c:v>
                </c:pt>
                <c:pt idx="59">
                  <c:v>-0.10000000000000459</c:v>
                </c:pt>
                <c:pt idx="60">
                  <c:v>-4.5796699765787707E-15</c:v>
                </c:pt>
                <c:pt idx="61">
                  <c:v>9.9999999999995426E-2</c:v>
                </c:pt>
                <c:pt idx="62">
                  <c:v>0.19999999999999543</c:v>
                </c:pt>
                <c:pt idx="63">
                  <c:v>0.29999999999999544</c:v>
                </c:pt>
                <c:pt idx="64">
                  <c:v>0.39999999999999547</c:v>
                </c:pt>
                <c:pt idx="65">
                  <c:v>0.49999999999999545</c:v>
                </c:pt>
                <c:pt idx="66">
                  <c:v>0.59999999999999543</c:v>
                </c:pt>
                <c:pt idx="67">
                  <c:v>0.6999999999999954</c:v>
                </c:pt>
                <c:pt idx="68">
                  <c:v>0.79999999999999538</c:v>
                </c:pt>
                <c:pt idx="69">
                  <c:v>0.89999999999999536</c:v>
                </c:pt>
                <c:pt idx="70">
                  <c:v>0.99999999999999534</c:v>
                </c:pt>
                <c:pt idx="71">
                  <c:v>1.0999999999999954</c:v>
                </c:pt>
                <c:pt idx="72">
                  <c:v>1.1999999999999955</c:v>
                </c:pt>
                <c:pt idx="73">
                  <c:v>1.2999999999999956</c:v>
                </c:pt>
                <c:pt idx="74">
                  <c:v>1.3999999999999957</c:v>
                </c:pt>
                <c:pt idx="75">
                  <c:v>1.4999999999999958</c:v>
                </c:pt>
                <c:pt idx="76">
                  <c:v>1.5999999999999959</c:v>
                </c:pt>
                <c:pt idx="77">
                  <c:v>1.699999999999996</c:v>
                </c:pt>
                <c:pt idx="78">
                  <c:v>1.799999999999996</c:v>
                </c:pt>
                <c:pt idx="79">
                  <c:v>1.8999999999999961</c:v>
                </c:pt>
                <c:pt idx="80">
                  <c:v>1.9999999999999962</c:v>
                </c:pt>
                <c:pt idx="81">
                  <c:v>2.0999999999999961</c:v>
                </c:pt>
                <c:pt idx="82">
                  <c:v>2.1999999999999962</c:v>
                </c:pt>
                <c:pt idx="83">
                  <c:v>2.2999999999999963</c:v>
                </c:pt>
                <c:pt idx="84">
                  <c:v>2.3999999999999964</c:v>
                </c:pt>
                <c:pt idx="85">
                  <c:v>2.4999999999999964</c:v>
                </c:pt>
                <c:pt idx="86">
                  <c:v>2.5999999999999965</c:v>
                </c:pt>
                <c:pt idx="87">
                  <c:v>2.6999999999999966</c:v>
                </c:pt>
                <c:pt idx="88">
                  <c:v>2.7999999999999967</c:v>
                </c:pt>
                <c:pt idx="89">
                  <c:v>2.8999999999999968</c:v>
                </c:pt>
                <c:pt idx="90">
                  <c:v>2.9999999999999969</c:v>
                </c:pt>
                <c:pt idx="91">
                  <c:v>3.099999999999997</c:v>
                </c:pt>
                <c:pt idx="92">
                  <c:v>3.1999999999999971</c:v>
                </c:pt>
                <c:pt idx="93">
                  <c:v>3.2999999999999972</c:v>
                </c:pt>
                <c:pt idx="94">
                  <c:v>3.3999999999999972</c:v>
                </c:pt>
                <c:pt idx="95">
                  <c:v>3.4999999999999973</c:v>
                </c:pt>
                <c:pt idx="96">
                  <c:v>3.5999999999999974</c:v>
                </c:pt>
                <c:pt idx="97">
                  <c:v>3.6999999999999975</c:v>
                </c:pt>
                <c:pt idx="98">
                  <c:v>3.7999999999999976</c:v>
                </c:pt>
                <c:pt idx="99">
                  <c:v>3.8999999999999977</c:v>
                </c:pt>
                <c:pt idx="100">
                  <c:v>3.9999999999999978</c:v>
                </c:pt>
                <c:pt idx="101">
                  <c:v>4.0999999999999979</c:v>
                </c:pt>
                <c:pt idx="102">
                  <c:v>4.1999999999999975</c:v>
                </c:pt>
                <c:pt idx="103">
                  <c:v>4.2999999999999972</c:v>
                </c:pt>
                <c:pt idx="104">
                  <c:v>4.3999999999999968</c:v>
                </c:pt>
                <c:pt idx="105">
                  <c:v>4.4999999999999964</c:v>
                </c:pt>
                <c:pt idx="106">
                  <c:v>4.5999999999999961</c:v>
                </c:pt>
                <c:pt idx="107">
                  <c:v>4.6999999999999957</c:v>
                </c:pt>
                <c:pt idx="108">
                  <c:v>4.7999999999999954</c:v>
                </c:pt>
                <c:pt idx="109">
                  <c:v>4.899999999999995</c:v>
                </c:pt>
                <c:pt idx="110">
                  <c:v>4.9999999999999947</c:v>
                </c:pt>
                <c:pt idx="111">
                  <c:v>5.0999999999999943</c:v>
                </c:pt>
                <c:pt idx="112">
                  <c:v>5.199999999999994</c:v>
                </c:pt>
                <c:pt idx="113">
                  <c:v>5.2999999999999936</c:v>
                </c:pt>
                <c:pt idx="114">
                  <c:v>5.3999999999999932</c:v>
                </c:pt>
                <c:pt idx="115">
                  <c:v>5.4999999999999929</c:v>
                </c:pt>
                <c:pt idx="116">
                  <c:v>5.5999999999999925</c:v>
                </c:pt>
                <c:pt idx="117">
                  <c:v>5.6999999999999922</c:v>
                </c:pt>
                <c:pt idx="118">
                  <c:v>5.7999999999999918</c:v>
                </c:pt>
                <c:pt idx="119">
                  <c:v>5.8999999999999915</c:v>
                </c:pt>
                <c:pt idx="120">
                  <c:v>5.9999999999999911</c:v>
                </c:pt>
                <c:pt idx="121">
                  <c:v>6.0999999999999908</c:v>
                </c:pt>
                <c:pt idx="122">
                  <c:v>6.1999999999999904</c:v>
                </c:pt>
                <c:pt idx="123">
                  <c:v>6.2999999999999901</c:v>
                </c:pt>
                <c:pt idx="124">
                  <c:v>6.3999999999999897</c:v>
                </c:pt>
                <c:pt idx="125">
                  <c:v>6.4999999999999893</c:v>
                </c:pt>
                <c:pt idx="126">
                  <c:v>6.599999999999989</c:v>
                </c:pt>
                <c:pt idx="127">
                  <c:v>6.6999999999999886</c:v>
                </c:pt>
                <c:pt idx="128">
                  <c:v>6.7999999999999883</c:v>
                </c:pt>
                <c:pt idx="129">
                  <c:v>6.8999999999999879</c:v>
                </c:pt>
                <c:pt idx="130">
                  <c:v>6.9999999999999876</c:v>
                </c:pt>
                <c:pt idx="131">
                  <c:v>7.0999999999999872</c:v>
                </c:pt>
                <c:pt idx="132">
                  <c:v>7.1999999999999869</c:v>
                </c:pt>
                <c:pt idx="133">
                  <c:v>7.2999999999999865</c:v>
                </c:pt>
                <c:pt idx="134">
                  <c:v>7.3999999999999861</c:v>
                </c:pt>
                <c:pt idx="135">
                  <c:v>7.4999999999999858</c:v>
                </c:pt>
                <c:pt idx="136">
                  <c:v>7.5999999999999854</c:v>
                </c:pt>
                <c:pt idx="137">
                  <c:v>7.6999999999999851</c:v>
                </c:pt>
                <c:pt idx="138">
                  <c:v>7.7999999999999847</c:v>
                </c:pt>
                <c:pt idx="139">
                  <c:v>7.8999999999999844</c:v>
                </c:pt>
                <c:pt idx="140">
                  <c:v>7.999999999999984</c:v>
                </c:pt>
                <c:pt idx="141">
                  <c:v>8.0999999999999837</c:v>
                </c:pt>
                <c:pt idx="142">
                  <c:v>8.1999999999999833</c:v>
                </c:pt>
                <c:pt idx="143">
                  <c:v>8.2999999999999829</c:v>
                </c:pt>
                <c:pt idx="144">
                  <c:v>8.3999999999999826</c:v>
                </c:pt>
                <c:pt idx="145">
                  <c:v>8.4999999999999822</c:v>
                </c:pt>
                <c:pt idx="146">
                  <c:v>8.5999999999999819</c:v>
                </c:pt>
                <c:pt idx="147">
                  <c:v>8.6999999999999815</c:v>
                </c:pt>
                <c:pt idx="148">
                  <c:v>8.7999999999999812</c:v>
                </c:pt>
                <c:pt idx="149">
                  <c:v>8.8999999999999808</c:v>
                </c:pt>
                <c:pt idx="150">
                  <c:v>8.9999999999999805</c:v>
                </c:pt>
                <c:pt idx="151">
                  <c:v>9.0999999999999801</c:v>
                </c:pt>
                <c:pt idx="152">
                  <c:v>9.1999999999999797</c:v>
                </c:pt>
                <c:pt idx="153">
                  <c:v>9.2999999999999794</c:v>
                </c:pt>
                <c:pt idx="154">
                  <c:v>9.399999999999979</c:v>
                </c:pt>
                <c:pt idx="155">
                  <c:v>9.4999999999999787</c:v>
                </c:pt>
                <c:pt idx="156">
                  <c:v>9.5999999999999783</c:v>
                </c:pt>
                <c:pt idx="157">
                  <c:v>9.699999999999978</c:v>
                </c:pt>
                <c:pt idx="158">
                  <c:v>9.7999999999999776</c:v>
                </c:pt>
                <c:pt idx="159">
                  <c:v>9.8999999999999773</c:v>
                </c:pt>
                <c:pt idx="160">
                  <c:v>9.9999999999999769</c:v>
                </c:pt>
                <c:pt idx="161">
                  <c:v>10.099999999999977</c:v>
                </c:pt>
                <c:pt idx="162">
                  <c:v>10.199999999999976</c:v>
                </c:pt>
                <c:pt idx="163">
                  <c:v>10.299999999999976</c:v>
                </c:pt>
                <c:pt idx="164">
                  <c:v>10.399999999999975</c:v>
                </c:pt>
                <c:pt idx="165">
                  <c:v>10.499999999999975</c:v>
                </c:pt>
                <c:pt idx="166">
                  <c:v>10.599999999999975</c:v>
                </c:pt>
                <c:pt idx="167">
                  <c:v>10.699999999999974</c:v>
                </c:pt>
                <c:pt idx="168">
                  <c:v>10.799999999999974</c:v>
                </c:pt>
                <c:pt idx="169">
                  <c:v>10.899999999999974</c:v>
                </c:pt>
                <c:pt idx="170">
                  <c:v>10.999999999999973</c:v>
                </c:pt>
                <c:pt idx="171">
                  <c:v>11.099999999999973</c:v>
                </c:pt>
                <c:pt idx="172">
                  <c:v>11.199999999999973</c:v>
                </c:pt>
                <c:pt idx="173">
                  <c:v>11.299999999999972</c:v>
                </c:pt>
                <c:pt idx="174">
                  <c:v>11.399999999999972</c:v>
                </c:pt>
                <c:pt idx="175">
                  <c:v>11.499999999999972</c:v>
                </c:pt>
                <c:pt idx="176">
                  <c:v>11.599999999999971</c:v>
                </c:pt>
                <c:pt idx="177">
                  <c:v>11.699999999999971</c:v>
                </c:pt>
                <c:pt idx="178">
                  <c:v>11.799999999999971</c:v>
                </c:pt>
                <c:pt idx="179">
                  <c:v>11.89999999999997</c:v>
                </c:pt>
                <c:pt idx="180">
                  <c:v>11.99999999999997</c:v>
                </c:pt>
                <c:pt idx="181">
                  <c:v>12.099999999999969</c:v>
                </c:pt>
                <c:pt idx="182">
                  <c:v>12.199999999999969</c:v>
                </c:pt>
                <c:pt idx="183">
                  <c:v>12.299999999999969</c:v>
                </c:pt>
                <c:pt idx="184">
                  <c:v>12.399999999999968</c:v>
                </c:pt>
                <c:pt idx="185">
                  <c:v>12.499999999999968</c:v>
                </c:pt>
                <c:pt idx="186">
                  <c:v>12.599999999999968</c:v>
                </c:pt>
                <c:pt idx="187">
                  <c:v>12.699999999999967</c:v>
                </c:pt>
                <c:pt idx="188">
                  <c:v>12.799999999999967</c:v>
                </c:pt>
                <c:pt idx="189">
                  <c:v>12.899999999999967</c:v>
                </c:pt>
                <c:pt idx="190">
                  <c:v>12.999999999999966</c:v>
                </c:pt>
                <c:pt idx="191">
                  <c:v>13.099999999999966</c:v>
                </c:pt>
                <c:pt idx="192">
                  <c:v>13.199999999999966</c:v>
                </c:pt>
                <c:pt idx="193">
                  <c:v>13.299999999999965</c:v>
                </c:pt>
                <c:pt idx="194">
                  <c:v>13.399999999999965</c:v>
                </c:pt>
                <c:pt idx="195">
                  <c:v>13.499999999999964</c:v>
                </c:pt>
                <c:pt idx="196">
                  <c:v>13.599999999999964</c:v>
                </c:pt>
                <c:pt idx="197">
                  <c:v>13.699999999999964</c:v>
                </c:pt>
                <c:pt idx="198">
                  <c:v>13.799999999999963</c:v>
                </c:pt>
                <c:pt idx="199">
                  <c:v>13.899999999999963</c:v>
                </c:pt>
                <c:pt idx="200">
                  <c:v>13.999999999999963</c:v>
                </c:pt>
                <c:pt idx="201">
                  <c:v>14.099999999999962</c:v>
                </c:pt>
              </c:numCache>
            </c:numRef>
          </c:cat>
          <c:val>
            <c:numRef>
              <c:f>'NT 1'!$S$8:$S$209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'NT 1'!$T$7</c:f>
              <c:strCache>
                <c:ptCount val="1"/>
                <c:pt idx="0">
                  <c:v>df 5</c:v>
                </c:pt>
              </c:strCache>
            </c:strRef>
          </c:tx>
          <c:marker>
            <c:symbol val="none"/>
          </c:marker>
          <c:cat>
            <c:numRef>
              <c:f>'NT 1'!$Q$8:$Q$209</c:f>
              <c:numCache>
                <c:formatCode>General</c:formatCode>
                <c:ptCount val="202"/>
                <c:pt idx="0">
                  <c:v>-6</c:v>
                </c:pt>
                <c:pt idx="1">
                  <c:v>-5.9</c:v>
                </c:pt>
                <c:pt idx="2">
                  <c:v>-5.8000000000000007</c:v>
                </c:pt>
                <c:pt idx="3">
                  <c:v>-5.7000000000000011</c:v>
                </c:pt>
                <c:pt idx="4">
                  <c:v>-5.6000000000000014</c:v>
                </c:pt>
                <c:pt idx="5">
                  <c:v>-5.5000000000000018</c:v>
                </c:pt>
                <c:pt idx="6">
                  <c:v>-5.4000000000000021</c:v>
                </c:pt>
                <c:pt idx="7">
                  <c:v>-5.3000000000000025</c:v>
                </c:pt>
                <c:pt idx="8">
                  <c:v>-5.2000000000000028</c:v>
                </c:pt>
                <c:pt idx="9">
                  <c:v>-5.1000000000000032</c:v>
                </c:pt>
                <c:pt idx="10">
                  <c:v>-5.0000000000000036</c:v>
                </c:pt>
                <c:pt idx="11">
                  <c:v>-4.9000000000000039</c:v>
                </c:pt>
                <c:pt idx="12">
                  <c:v>-4.8000000000000043</c:v>
                </c:pt>
                <c:pt idx="13">
                  <c:v>-4.7000000000000046</c:v>
                </c:pt>
                <c:pt idx="14">
                  <c:v>-4.600000000000005</c:v>
                </c:pt>
                <c:pt idx="15">
                  <c:v>-4.5000000000000053</c:v>
                </c:pt>
                <c:pt idx="16">
                  <c:v>-4.4000000000000057</c:v>
                </c:pt>
                <c:pt idx="17">
                  <c:v>-4.300000000000006</c:v>
                </c:pt>
                <c:pt idx="18">
                  <c:v>-4.2000000000000064</c:v>
                </c:pt>
                <c:pt idx="19">
                  <c:v>-4.1000000000000068</c:v>
                </c:pt>
                <c:pt idx="20">
                  <c:v>-4.0000000000000071</c:v>
                </c:pt>
                <c:pt idx="21">
                  <c:v>-3.900000000000007</c:v>
                </c:pt>
                <c:pt idx="22">
                  <c:v>-3.8000000000000069</c:v>
                </c:pt>
                <c:pt idx="23">
                  <c:v>-3.7000000000000068</c:v>
                </c:pt>
                <c:pt idx="24">
                  <c:v>-3.6000000000000068</c:v>
                </c:pt>
                <c:pt idx="25">
                  <c:v>-3.5000000000000067</c:v>
                </c:pt>
                <c:pt idx="26">
                  <c:v>-3.4000000000000066</c:v>
                </c:pt>
                <c:pt idx="27">
                  <c:v>-3.3000000000000065</c:v>
                </c:pt>
                <c:pt idx="28">
                  <c:v>-3.2000000000000064</c:v>
                </c:pt>
                <c:pt idx="29">
                  <c:v>-3.1000000000000063</c:v>
                </c:pt>
                <c:pt idx="30">
                  <c:v>-3.0000000000000062</c:v>
                </c:pt>
                <c:pt idx="31">
                  <c:v>-2.9000000000000061</c:v>
                </c:pt>
                <c:pt idx="32">
                  <c:v>-2.800000000000006</c:v>
                </c:pt>
                <c:pt idx="33">
                  <c:v>-2.700000000000006</c:v>
                </c:pt>
                <c:pt idx="34">
                  <c:v>-2.6000000000000059</c:v>
                </c:pt>
                <c:pt idx="35">
                  <c:v>-2.5000000000000058</c:v>
                </c:pt>
                <c:pt idx="36">
                  <c:v>-2.4000000000000057</c:v>
                </c:pt>
                <c:pt idx="37">
                  <c:v>-2.3000000000000056</c:v>
                </c:pt>
                <c:pt idx="38">
                  <c:v>-2.2000000000000055</c:v>
                </c:pt>
                <c:pt idx="39">
                  <c:v>-2.1000000000000054</c:v>
                </c:pt>
                <c:pt idx="40">
                  <c:v>-2.0000000000000053</c:v>
                </c:pt>
                <c:pt idx="41">
                  <c:v>-1.9000000000000052</c:v>
                </c:pt>
                <c:pt idx="42">
                  <c:v>-1.8000000000000052</c:v>
                </c:pt>
                <c:pt idx="43">
                  <c:v>-1.7000000000000051</c:v>
                </c:pt>
                <c:pt idx="44">
                  <c:v>-1.600000000000005</c:v>
                </c:pt>
                <c:pt idx="45">
                  <c:v>-1.5000000000000049</c:v>
                </c:pt>
                <c:pt idx="46">
                  <c:v>-1.4000000000000048</c:v>
                </c:pt>
                <c:pt idx="47">
                  <c:v>-1.3000000000000047</c:v>
                </c:pt>
                <c:pt idx="48">
                  <c:v>-1.2000000000000046</c:v>
                </c:pt>
                <c:pt idx="49">
                  <c:v>-1.1000000000000045</c:v>
                </c:pt>
                <c:pt idx="50">
                  <c:v>-1.0000000000000044</c:v>
                </c:pt>
                <c:pt idx="51">
                  <c:v>-0.90000000000000446</c:v>
                </c:pt>
                <c:pt idx="52">
                  <c:v>-0.80000000000000449</c:v>
                </c:pt>
                <c:pt idx="53">
                  <c:v>-0.70000000000000451</c:v>
                </c:pt>
                <c:pt idx="54">
                  <c:v>-0.60000000000000453</c:v>
                </c:pt>
                <c:pt idx="55">
                  <c:v>-0.50000000000000455</c:v>
                </c:pt>
                <c:pt idx="56">
                  <c:v>-0.40000000000000457</c:v>
                </c:pt>
                <c:pt idx="57">
                  <c:v>-0.3000000000000046</c:v>
                </c:pt>
                <c:pt idx="58">
                  <c:v>-0.20000000000000459</c:v>
                </c:pt>
                <c:pt idx="59">
                  <c:v>-0.10000000000000459</c:v>
                </c:pt>
                <c:pt idx="60">
                  <c:v>-4.5796699765787707E-15</c:v>
                </c:pt>
                <c:pt idx="61">
                  <c:v>9.9999999999995426E-2</c:v>
                </c:pt>
                <c:pt idx="62">
                  <c:v>0.19999999999999543</c:v>
                </c:pt>
                <c:pt idx="63">
                  <c:v>0.29999999999999544</c:v>
                </c:pt>
                <c:pt idx="64">
                  <c:v>0.39999999999999547</c:v>
                </c:pt>
                <c:pt idx="65">
                  <c:v>0.49999999999999545</c:v>
                </c:pt>
                <c:pt idx="66">
                  <c:v>0.59999999999999543</c:v>
                </c:pt>
                <c:pt idx="67">
                  <c:v>0.6999999999999954</c:v>
                </c:pt>
                <c:pt idx="68">
                  <c:v>0.79999999999999538</c:v>
                </c:pt>
                <c:pt idx="69">
                  <c:v>0.89999999999999536</c:v>
                </c:pt>
                <c:pt idx="70">
                  <c:v>0.99999999999999534</c:v>
                </c:pt>
                <c:pt idx="71">
                  <c:v>1.0999999999999954</c:v>
                </c:pt>
                <c:pt idx="72">
                  <c:v>1.1999999999999955</c:v>
                </c:pt>
                <c:pt idx="73">
                  <c:v>1.2999999999999956</c:v>
                </c:pt>
                <c:pt idx="74">
                  <c:v>1.3999999999999957</c:v>
                </c:pt>
                <c:pt idx="75">
                  <c:v>1.4999999999999958</c:v>
                </c:pt>
                <c:pt idx="76">
                  <c:v>1.5999999999999959</c:v>
                </c:pt>
                <c:pt idx="77">
                  <c:v>1.699999999999996</c:v>
                </c:pt>
                <c:pt idx="78">
                  <c:v>1.799999999999996</c:v>
                </c:pt>
                <c:pt idx="79">
                  <c:v>1.8999999999999961</c:v>
                </c:pt>
                <c:pt idx="80">
                  <c:v>1.9999999999999962</c:v>
                </c:pt>
                <c:pt idx="81">
                  <c:v>2.0999999999999961</c:v>
                </c:pt>
                <c:pt idx="82">
                  <c:v>2.1999999999999962</c:v>
                </c:pt>
                <c:pt idx="83">
                  <c:v>2.2999999999999963</c:v>
                </c:pt>
                <c:pt idx="84">
                  <c:v>2.3999999999999964</c:v>
                </c:pt>
                <c:pt idx="85">
                  <c:v>2.4999999999999964</c:v>
                </c:pt>
                <c:pt idx="86">
                  <c:v>2.5999999999999965</c:v>
                </c:pt>
                <c:pt idx="87">
                  <c:v>2.6999999999999966</c:v>
                </c:pt>
                <c:pt idx="88">
                  <c:v>2.7999999999999967</c:v>
                </c:pt>
                <c:pt idx="89">
                  <c:v>2.8999999999999968</c:v>
                </c:pt>
                <c:pt idx="90">
                  <c:v>2.9999999999999969</c:v>
                </c:pt>
                <c:pt idx="91">
                  <c:v>3.099999999999997</c:v>
                </c:pt>
                <c:pt idx="92">
                  <c:v>3.1999999999999971</c:v>
                </c:pt>
                <c:pt idx="93">
                  <c:v>3.2999999999999972</c:v>
                </c:pt>
                <c:pt idx="94">
                  <c:v>3.3999999999999972</c:v>
                </c:pt>
                <c:pt idx="95">
                  <c:v>3.4999999999999973</c:v>
                </c:pt>
                <c:pt idx="96">
                  <c:v>3.5999999999999974</c:v>
                </c:pt>
                <c:pt idx="97">
                  <c:v>3.6999999999999975</c:v>
                </c:pt>
                <c:pt idx="98">
                  <c:v>3.7999999999999976</c:v>
                </c:pt>
                <c:pt idx="99">
                  <c:v>3.8999999999999977</c:v>
                </c:pt>
                <c:pt idx="100">
                  <c:v>3.9999999999999978</c:v>
                </c:pt>
                <c:pt idx="101">
                  <c:v>4.0999999999999979</c:v>
                </c:pt>
                <c:pt idx="102">
                  <c:v>4.1999999999999975</c:v>
                </c:pt>
                <c:pt idx="103">
                  <c:v>4.2999999999999972</c:v>
                </c:pt>
                <c:pt idx="104">
                  <c:v>4.3999999999999968</c:v>
                </c:pt>
                <c:pt idx="105">
                  <c:v>4.4999999999999964</c:v>
                </c:pt>
                <c:pt idx="106">
                  <c:v>4.5999999999999961</c:v>
                </c:pt>
                <c:pt idx="107">
                  <c:v>4.6999999999999957</c:v>
                </c:pt>
                <c:pt idx="108">
                  <c:v>4.7999999999999954</c:v>
                </c:pt>
                <c:pt idx="109">
                  <c:v>4.899999999999995</c:v>
                </c:pt>
                <c:pt idx="110">
                  <c:v>4.9999999999999947</c:v>
                </c:pt>
                <c:pt idx="111">
                  <c:v>5.0999999999999943</c:v>
                </c:pt>
                <c:pt idx="112">
                  <c:v>5.199999999999994</c:v>
                </c:pt>
                <c:pt idx="113">
                  <c:v>5.2999999999999936</c:v>
                </c:pt>
                <c:pt idx="114">
                  <c:v>5.3999999999999932</c:v>
                </c:pt>
                <c:pt idx="115">
                  <c:v>5.4999999999999929</c:v>
                </c:pt>
                <c:pt idx="116">
                  <c:v>5.5999999999999925</c:v>
                </c:pt>
                <c:pt idx="117">
                  <c:v>5.6999999999999922</c:v>
                </c:pt>
                <c:pt idx="118">
                  <c:v>5.7999999999999918</c:v>
                </c:pt>
                <c:pt idx="119">
                  <c:v>5.8999999999999915</c:v>
                </c:pt>
                <c:pt idx="120">
                  <c:v>5.9999999999999911</c:v>
                </c:pt>
                <c:pt idx="121">
                  <c:v>6.0999999999999908</c:v>
                </c:pt>
                <c:pt idx="122">
                  <c:v>6.1999999999999904</c:v>
                </c:pt>
                <c:pt idx="123">
                  <c:v>6.2999999999999901</c:v>
                </c:pt>
                <c:pt idx="124">
                  <c:v>6.3999999999999897</c:v>
                </c:pt>
                <c:pt idx="125">
                  <c:v>6.4999999999999893</c:v>
                </c:pt>
                <c:pt idx="126">
                  <c:v>6.599999999999989</c:v>
                </c:pt>
                <c:pt idx="127">
                  <c:v>6.6999999999999886</c:v>
                </c:pt>
                <c:pt idx="128">
                  <c:v>6.7999999999999883</c:v>
                </c:pt>
                <c:pt idx="129">
                  <c:v>6.8999999999999879</c:v>
                </c:pt>
                <c:pt idx="130">
                  <c:v>6.9999999999999876</c:v>
                </c:pt>
                <c:pt idx="131">
                  <c:v>7.0999999999999872</c:v>
                </c:pt>
                <c:pt idx="132">
                  <c:v>7.1999999999999869</c:v>
                </c:pt>
                <c:pt idx="133">
                  <c:v>7.2999999999999865</c:v>
                </c:pt>
                <c:pt idx="134">
                  <c:v>7.3999999999999861</c:v>
                </c:pt>
                <c:pt idx="135">
                  <c:v>7.4999999999999858</c:v>
                </c:pt>
                <c:pt idx="136">
                  <c:v>7.5999999999999854</c:v>
                </c:pt>
                <c:pt idx="137">
                  <c:v>7.6999999999999851</c:v>
                </c:pt>
                <c:pt idx="138">
                  <c:v>7.7999999999999847</c:v>
                </c:pt>
                <c:pt idx="139">
                  <c:v>7.8999999999999844</c:v>
                </c:pt>
                <c:pt idx="140">
                  <c:v>7.999999999999984</c:v>
                </c:pt>
                <c:pt idx="141">
                  <c:v>8.0999999999999837</c:v>
                </c:pt>
                <c:pt idx="142">
                  <c:v>8.1999999999999833</c:v>
                </c:pt>
                <c:pt idx="143">
                  <c:v>8.2999999999999829</c:v>
                </c:pt>
                <c:pt idx="144">
                  <c:v>8.3999999999999826</c:v>
                </c:pt>
                <c:pt idx="145">
                  <c:v>8.4999999999999822</c:v>
                </c:pt>
                <c:pt idx="146">
                  <c:v>8.5999999999999819</c:v>
                </c:pt>
                <c:pt idx="147">
                  <c:v>8.6999999999999815</c:v>
                </c:pt>
                <c:pt idx="148">
                  <c:v>8.7999999999999812</c:v>
                </c:pt>
                <c:pt idx="149">
                  <c:v>8.8999999999999808</c:v>
                </c:pt>
                <c:pt idx="150">
                  <c:v>8.9999999999999805</c:v>
                </c:pt>
                <c:pt idx="151">
                  <c:v>9.0999999999999801</c:v>
                </c:pt>
                <c:pt idx="152">
                  <c:v>9.1999999999999797</c:v>
                </c:pt>
                <c:pt idx="153">
                  <c:v>9.2999999999999794</c:v>
                </c:pt>
                <c:pt idx="154">
                  <c:v>9.399999999999979</c:v>
                </c:pt>
                <c:pt idx="155">
                  <c:v>9.4999999999999787</c:v>
                </c:pt>
                <c:pt idx="156">
                  <c:v>9.5999999999999783</c:v>
                </c:pt>
                <c:pt idx="157">
                  <c:v>9.699999999999978</c:v>
                </c:pt>
                <c:pt idx="158">
                  <c:v>9.7999999999999776</c:v>
                </c:pt>
                <c:pt idx="159">
                  <c:v>9.8999999999999773</c:v>
                </c:pt>
                <c:pt idx="160">
                  <c:v>9.9999999999999769</c:v>
                </c:pt>
                <c:pt idx="161">
                  <c:v>10.099999999999977</c:v>
                </c:pt>
                <c:pt idx="162">
                  <c:v>10.199999999999976</c:v>
                </c:pt>
                <c:pt idx="163">
                  <c:v>10.299999999999976</c:v>
                </c:pt>
                <c:pt idx="164">
                  <c:v>10.399999999999975</c:v>
                </c:pt>
                <c:pt idx="165">
                  <c:v>10.499999999999975</c:v>
                </c:pt>
                <c:pt idx="166">
                  <c:v>10.599999999999975</c:v>
                </c:pt>
                <c:pt idx="167">
                  <c:v>10.699999999999974</c:v>
                </c:pt>
                <c:pt idx="168">
                  <c:v>10.799999999999974</c:v>
                </c:pt>
                <c:pt idx="169">
                  <c:v>10.899999999999974</c:v>
                </c:pt>
                <c:pt idx="170">
                  <c:v>10.999999999999973</c:v>
                </c:pt>
                <c:pt idx="171">
                  <c:v>11.099999999999973</c:v>
                </c:pt>
                <c:pt idx="172">
                  <c:v>11.199999999999973</c:v>
                </c:pt>
                <c:pt idx="173">
                  <c:v>11.299999999999972</c:v>
                </c:pt>
                <c:pt idx="174">
                  <c:v>11.399999999999972</c:v>
                </c:pt>
                <c:pt idx="175">
                  <c:v>11.499999999999972</c:v>
                </c:pt>
                <c:pt idx="176">
                  <c:v>11.599999999999971</c:v>
                </c:pt>
                <c:pt idx="177">
                  <c:v>11.699999999999971</c:v>
                </c:pt>
                <c:pt idx="178">
                  <c:v>11.799999999999971</c:v>
                </c:pt>
                <c:pt idx="179">
                  <c:v>11.89999999999997</c:v>
                </c:pt>
                <c:pt idx="180">
                  <c:v>11.99999999999997</c:v>
                </c:pt>
                <c:pt idx="181">
                  <c:v>12.099999999999969</c:v>
                </c:pt>
                <c:pt idx="182">
                  <c:v>12.199999999999969</c:v>
                </c:pt>
                <c:pt idx="183">
                  <c:v>12.299999999999969</c:v>
                </c:pt>
                <c:pt idx="184">
                  <c:v>12.399999999999968</c:v>
                </c:pt>
                <c:pt idx="185">
                  <c:v>12.499999999999968</c:v>
                </c:pt>
                <c:pt idx="186">
                  <c:v>12.599999999999968</c:v>
                </c:pt>
                <c:pt idx="187">
                  <c:v>12.699999999999967</c:v>
                </c:pt>
                <c:pt idx="188">
                  <c:v>12.799999999999967</c:v>
                </c:pt>
                <c:pt idx="189">
                  <c:v>12.899999999999967</c:v>
                </c:pt>
                <c:pt idx="190">
                  <c:v>12.999999999999966</c:v>
                </c:pt>
                <c:pt idx="191">
                  <c:v>13.099999999999966</c:v>
                </c:pt>
                <c:pt idx="192">
                  <c:v>13.199999999999966</c:v>
                </c:pt>
                <c:pt idx="193">
                  <c:v>13.299999999999965</c:v>
                </c:pt>
                <c:pt idx="194">
                  <c:v>13.399999999999965</c:v>
                </c:pt>
                <c:pt idx="195">
                  <c:v>13.499999999999964</c:v>
                </c:pt>
                <c:pt idx="196">
                  <c:v>13.599999999999964</c:v>
                </c:pt>
                <c:pt idx="197">
                  <c:v>13.699999999999964</c:v>
                </c:pt>
                <c:pt idx="198">
                  <c:v>13.799999999999963</c:v>
                </c:pt>
                <c:pt idx="199">
                  <c:v>13.899999999999963</c:v>
                </c:pt>
                <c:pt idx="200">
                  <c:v>13.999999999999963</c:v>
                </c:pt>
                <c:pt idx="201">
                  <c:v>14.099999999999962</c:v>
                </c:pt>
              </c:numCache>
            </c:numRef>
          </c:cat>
          <c:val>
            <c:numRef>
              <c:f>'NT 1'!$T$8:$T$209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'NT 1'!$U$7</c:f>
              <c:strCache>
                <c:ptCount val="1"/>
                <c:pt idx="0">
                  <c:v>df 10</c:v>
                </c:pt>
              </c:strCache>
            </c:strRef>
          </c:tx>
          <c:marker>
            <c:symbol val="none"/>
          </c:marker>
          <c:cat>
            <c:numRef>
              <c:f>'NT 1'!$Q$8:$Q$209</c:f>
              <c:numCache>
                <c:formatCode>General</c:formatCode>
                <c:ptCount val="202"/>
                <c:pt idx="0">
                  <c:v>-6</c:v>
                </c:pt>
                <c:pt idx="1">
                  <c:v>-5.9</c:v>
                </c:pt>
                <c:pt idx="2">
                  <c:v>-5.8000000000000007</c:v>
                </c:pt>
                <c:pt idx="3">
                  <c:v>-5.7000000000000011</c:v>
                </c:pt>
                <c:pt idx="4">
                  <c:v>-5.6000000000000014</c:v>
                </c:pt>
                <c:pt idx="5">
                  <c:v>-5.5000000000000018</c:v>
                </c:pt>
                <c:pt idx="6">
                  <c:v>-5.4000000000000021</c:v>
                </c:pt>
                <c:pt idx="7">
                  <c:v>-5.3000000000000025</c:v>
                </c:pt>
                <c:pt idx="8">
                  <c:v>-5.2000000000000028</c:v>
                </c:pt>
                <c:pt idx="9">
                  <c:v>-5.1000000000000032</c:v>
                </c:pt>
                <c:pt idx="10">
                  <c:v>-5.0000000000000036</c:v>
                </c:pt>
                <c:pt idx="11">
                  <c:v>-4.9000000000000039</c:v>
                </c:pt>
                <c:pt idx="12">
                  <c:v>-4.8000000000000043</c:v>
                </c:pt>
                <c:pt idx="13">
                  <c:v>-4.7000000000000046</c:v>
                </c:pt>
                <c:pt idx="14">
                  <c:v>-4.600000000000005</c:v>
                </c:pt>
                <c:pt idx="15">
                  <c:v>-4.5000000000000053</c:v>
                </c:pt>
                <c:pt idx="16">
                  <c:v>-4.4000000000000057</c:v>
                </c:pt>
                <c:pt idx="17">
                  <c:v>-4.300000000000006</c:v>
                </c:pt>
                <c:pt idx="18">
                  <c:v>-4.2000000000000064</c:v>
                </c:pt>
                <c:pt idx="19">
                  <c:v>-4.1000000000000068</c:v>
                </c:pt>
                <c:pt idx="20">
                  <c:v>-4.0000000000000071</c:v>
                </c:pt>
                <c:pt idx="21">
                  <c:v>-3.900000000000007</c:v>
                </c:pt>
                <c:pt idx="22">
                  <c:v>-3.8000000000000069</c:v>
                </c:pt>
                <c:pt idx="23">
                  <c:v>-3.7000000000000068</c:v>
                </c:pt>
                <c:pt idx="24">
                  <c:v>-3.6000000000000068</c:v>
                </c:pt>
                <c:pt idx="25">
                  <c:v>-3.5000000000000067</c:v>
                </c:pt>
                <c:pt idx="26">
                  <c:v>-3.4000000000000066</c:v>
                </c:pt>
                <c:pt idx="27">
                  <c:v>-3.3000000000000065</c:v>
                </c:pt>
                <c:pt idx="28">
                  <c:v>-3.2000000000000064</c:v>
                </c:pt>
                <c:pt idx="29">
                  <c:v>-3.1000000000000063</c:v>
                </c:pt>
                <c:pt idx="30">
                  <c:v>-3.0000000000000062</c:v>
                </c:pt>
                <c:pt idx="31">
                  <c:v>-2.9000000000000061</c:v>
                </c:pt>
                <c:pt idx="32">
                  <c:v>-2.800000000000006</c:v>
                </c:pt>
                <c:pt idx="33">
                  <c:v>-2.700000000000006</c:v>
                </c:pt>
                <c:pt idx="34">
                  <c:v>-2.6000000000000059</c:v>
                </c:pt>
                <c:pt idx="35">
                  <c:v>-2.5000000000000058</c:v>
                </c:pt>
                <c:pt idx="36">
                  <c:v>-2.4000000000000057</c:v>
                </c:pt>
                <c:pt idx="37">
                  <c:v>-2.3000000000000056</c:v>
                </c:pt>
                <c:pt idx="38">
                  <c:v>-2.2000000000000055</c:v>
                </c:pt>
                <c:pt idx="39">
                  <c:v>-2.1000000000000054</c:v>
                </c:pt>
                <c:pt idx="40">
                  <c:v>-2.0000000000000053</c:v>
                </c:pt>
                <c:pt idx="41">
                  <c:v>-1.9000000000000052</c:v>
                </c:pt>
                <c:pt idx="42">
                  <c:v>-1.8000000000000052</c:v>
                </c:pt>
                <c:pt idx="43">
                  <c:v>-1.7000000000000051</c:v>
                </c:pt>
                <c:pt idx="44">
                  <c:v>-1.600000000000005</c:v>
                </c:pt>
                <c:pt idx="45">
                  <c:v>-1.5000000000000049</c:v>
                </c:pt>
                <c:pt idx="46">
                  <c:v>-1.4000000000000048</c:v>
                </c:pt>
                <c:pt idx="47">
                  <c:v>-1.3000000000000047</c:v>
                </c:pt>
                <c:pt idx="48">
                  <c:v>-1.2000000000000046</c:v>
                </c:pt>
                <c:pt idx="49">
                  <c:v>-1.1000000000000045</c:v>
                </c:pt>
                <c:pt idx="50">
                  <c:v>-1.0000000000000044</c:v>
                </c:pt>
                <c:pt idx="51">
                  <c:v>-0.90000000000000446</c:v>
                </c:pt>
                <c:pt idx="52">
                  <c:v>-0.80000000000000449</c:v>
                </c:pt>
                <c:pt idx="53">
                  <c:v>-0.70000000000000451</c:v>
                </c:pt>
                <c:pt idx="54">
                  <c:v>-0.60000000000000453</c:v>
                </c:pt>
                <c:pt idx="55">
                  <c:v>-0.50000000000000455</c:v>
                </c:pt>
                <c:pt idx="56">
                  <c:v>-0.40000000000000457</c:v>
                </c:pt>
                <c:pt idx="57">
                  <c:v>-0.3000000000000046</c:v>
                </c:pt>
                <c:pt idx="58">
                  <c:v>-0.20000000000000459</c:v>
                </c:pt>
                <c:pt idx="59">
                  <c:v>-0.10000000000000459</c:v>
                </c:pt>
                <c:pt idx="60">
                  <c:v>-4.5796699765787707E-15</c:v>
                </c:pt>
                <c:pt idx="61">
                  <c:v>9.9999999999995426E-2</c:v>
                </c:pt>
                <c:pt idx="62">
                  <c:v>0.19999999999999543</c:v>
                </c:pt>
                <c:pt idx="63">
                  <c:v>0.29999999999999544</c:v>
                </c:pt>
                <c:pt idx="64">
                  <c:v>0.39999999999999547</c:v>
                </c:pt>
                <c:pt idx="65">
                  <c:v>0.49999999999999545</c:v>
                </c:pt>
                <c:pt idx="66">
                  <c:v>0.59999999999999543</c:v>
                </c:pt>
                <c:pt idx="67">
                  <c:v>0.6999999999999954</c:v>
                </c:pt>
                <c:pt idx="68">
                  <c:v>0.79999999999999538</c:v>
                </c:pt>
                <c:pt idx="69">
                  <c:v>0.89999999999999536</c:v>
                </c:pt>
                <c:pt idx="70">
                  <c:v>0.99999999999999534</c:v>
                </c:pt>
                <c:pt idx="71">
                  <c:v>1.0999999999999954</c:v>
                </c:pt>
                <c:pt idx="72">
                  <c:v>1.1999999999999955</c:v>
                </c:pt>
                <c:pt idx="73">
                  <c:v>1.2999999999999956</c:v>
                </c:pt>
                <c:pt idx="74">
                  <c:v>1.3999999999999957</c:v>
                </c:pt>
                <c:pt idx="75">
                  <c:v>1.4999999999999958</c:v>
                </c:pt>
                <c:pt idx="76">
                  <c:v>1.5999999999999959</c:v>
                </c:pt>
                <c:pt idx="77">
                  <c:v>1.699999999999996</c:v>
                </c:pt>
                <c:pt idx="78">
                  <c:v>1.799999999999996</c:v>
                </c:pt>
                <c:pt idx="79">
                  <c:v>1.8999999999999961</c:v>
                </c:pt>
                <c:pt idx="80">
                  <c:v>1.9999999999999962</c:v>
                </c:pt>
                <c:pt idx="81">
                  <c:v>2.0999999999999961</c:v>
                </c:pt>
                <c:pt idx="82">
                  <c:v>2.1999999999999962</c:v>
                </c:pt>
                <c:pt idx="83">
                  <c:v>2.2999999999999963</c:v>
                </c:pt>
                <c:pt idx="84">
                  <c:v>2.3999999999999964</c:v>
                </c:pt>
                <c:pt idx="85">
                  <c:v>2.4999999999999964</c:v>
                </c:pt>
                <c:pt idx="86">
                  <c:v>2.5999999999999965</c:v>
                </c:pt>
                <c:pt idx="87">
                  <c:v>2.6999999999999966</c:v>
                </c:pt>
                <c:pt idx="88">
                  <c:v>2.7999999999999967</c:v>
                </c:pt>
                <c:pt idx="89">
                  <c:v>2.8999999999999968</c:v>
                </c:pt>
                <c:pt idx="90">
                  <c:v>2.9999999999999969</c:v>
                </c:pt>
                <c:pt idx="91">
                  <c:v>3.099999999999997</c:v>
                </c:pt>
                <c:pt idx="92">
                  <c:v>3.1999999999999971</c:v>
                </c:pt>
                <c:pt idx="93">
                  <c:v>3.2999999999999972</c:v>
                </c:pt>
                <c:pt idx="94">
                  <c:v>3.3999999999999972</c:v>
                </c:pt>
                <c:pt idx="95">
                  <c:v>3.4999999999999973</c:v>
                </c:pt>
                <c:pt idx="96">
                  <c:v>3.5999999999999974</c:v>
                </c:pt>
                <c:pt idx="97">
                  <c:v>3.6999999999999975</c:v>
                </c:pt>
                <c:pt idx="98">
                  <c:v>3.7999999999999976</c:v>
                </c:pt>
                <c:pt idx="99">
                  <c:v>3.8999999999999977</c:v>
                </c:pt>
                <c:pt idx="100">
                  <c:v>3.9999999999999978</c:v>
                </c:pt>
                <c:pt idx="101">
                  <c:v>4.0999999999999979</c:v>
                </c:pt>
                <c:pt idx="102">
                  <c:v>4.1999999999999975</c:v>
                </c:pt>
                <c:pt idx="103">
                  <c:v>4.2999999999999972</c:v>
                </c:pt>
                <c:pt idx="104">
                  <c:v>4.3999999999999968</c:v>
                </c:pt>
                <c:pt idx="105">
                  <c:v>4.4999999999999964</c:v>
                </c:pt>
                <c:pt idx="106">
                  <c:v>4.5999999999999961</c:v>
                </c:pt>
                <c:pt idx="107">
                  <c:v>4.6999999999999957</c:v>
                </c:pt>
                <c:pt idx="108">
                  <c:v>4.7999999999999954</c:v>
                </c:pt>
                <c:pt idx="109">
                  <c:v>4.899999999999995</c:v>
                </c:pt>
                <c:pt idx="110">
                  <c:v>4.9999999999999947</c:v>
                </c:pt>
                <c:pt idx="111">
                  <c:v>5.0999999999999943</c:v>
                </c:pt>
                <c:pt idx="112">
                  <c:v>5.199999999999994</c:v>
                </c:pt>
                <c:pt idx="113">
                  <c:v>5.2999999999999936</c:v>
                </c:pt>
                <c:pt idx="114">
                  <c:v>5.3999999999999932</c:v>
                </c:pt>
                <c:pt idx="115">
                  <c:v>5.4999999999999929</c:v>
                </c:pt>
                <c:pt idx="116">
                  <c:v>5.5999999999999925</c:v>
                </c:pt>
                <c:pt idx="117">
                  <c:v>5.6999999999999922</c:v>
                </c:pt>
                <c:pt idx="118">
                  <c:v>5.7999999999999918</c:v>
                </c:pt>
                <c:pt idx="119">
                  <c:v>5.8999999999999915</c:v>
                </c:pt>
                <c:pt idx="120">
                  <c:v>5.9999999999999911</c:v>
                </c:pt>
                <c:pt idx="121">
                  <c:v>6.0999999999999908</c:v>
                </c:pt>
                <c:pt idx="122">
                  <c:v>6.1999999999999904</c:v>
                </c:pt>
                <c:pt idx="123">
                  <c:v>6.2999999999999901</c:v>
                </c:pt>
                <c:pt idx="124">
                  <c:v>6.3999999999999897</c:v>
                </c:pt>
                <c:pt idx="125">
                  <c:v>6.4999999999999893</c:v>
                </c:pt>
                <c:pt idx="126">
                  <c:v>6.599999999999989</c:v>
                </c:pt>
                <c:pt idx="127">
                  <c:v>6.6999999999999886</c:v>
                </c:pt>
                <c:pt idx="128">
                  <c:v>6.7999999999999883</c:v>
                </c:pt>
                <c:pt idx="129">
                  <c:v>6.8999999999999879</c:v>
                </c:pt>
                <c:pt idx="130">
                  <c:v>6.9999999999999876</c:v>
                </c:pt>
                <c:pt idx="131">
                  <c:v>7.0999999999999872</c:v>
                </c:pt>
                <c:pt idx="132">
                  <c:v>7.1999999999999869</c:v>
                </c:pt>
                <c:pt idx="133">
                  <c:v>7.2999999999999865</c:v>
                </c:pt>
                <c:pt idx="134">
                  <c:v>7.3999999999999861</c:v>
                </c:pt>
                <c:pt idx="135">
                  <c:v>7.4999999999999858</c:v>
                </c:pt>
                <c:pt idx="136">
                  <c:v>7.5999999999999854</c:v>
                </c:pt>
                <c:pt idx="137">
                  <c:v>7.6999999999999851</c:v>
                </c:pt>
                <c:pt idx="138">
                  <c:v>7.7999999999999847</c:v>
                </c:pt>
                <c:pt idx="139">
                  <c:v>7.8999999999999844</c:v>
                </c:pt>
                <c:pt idx="140">
                  <c:v>7.999999999999984</c:v>
                </c:pt>
                <c:pt idx="141">
                  <c:v>8.0999999999999837</c:v>
                </c:pt>
                <c:pt idx="142">
                  <c:v>8.1999999999999833</c:v>
                </c:pt>
                <c:pt idx="143">
                  <c:v>8.2999999999999829</c:v>
                </c:pt>
                <c:pt idx="144">
                  <c:v>8.3999999999999826</c:v>
                </c:pt>
                <c:pt idx="145">
                  <c:v>8.4999999999999822</c:v>
                </c:pt>
                <c:pt idx="146">
                  <c:v>8.5999999999999819</c:v>
                </c:pt>
                <c:pt idx="147">
                  <c:v>8.6999999999999815</c:v>
                </c:pt>
                <c:pt idx="148">
                  <c:v>8.7999999999999812</c:v>
                </c:pt>
                <c:pt idx="149">
                  <c:v>8.8999999999999808</c:v>
                </c:pt>
                <c:pt idx="150">
                  <c:v>8.9999999999999805</c:v>
                </c:pt>
                <c:pt idx="151">
                  <c:v>9.0999999999999801</c:v>
                </c:pt>
                <c:pt idx="152">
                  <c:v>9.1999999999999797</c:v>
                </c:pt>
                <c:pt idx="153">
                  <c:v>9.2999999999999794</c:v>
                </c:pt>
                <c:pt idx="154">
                  <c:v>9.399999999999979</c:v>
                </c:pt>
                <c:pt idx="155">
                  <c:v>9.4999999999999787</c:v>
                </c:pt>
                <c:pt idx="156">
                  <c:v>9.5999999999999783</c:v>
                </c:pt>
                <c:pt idx="157">
                  <c:v>9.699999999999978</c:v>
                </c:pt>
                <c:pt idx="158">
                  <c:v>9.7999999999999776</c:v>
                </c:pt>
                <c:pt idx="159">
                  <c:v>9.8999999999999773</c:v>
                </c:pt>
                <c:pt idx="160">
                  <c:v>9.9999999999999769</c:v>
                </c:pt>
                <c:pt idx="161">
                  <c:v>10.099999999999977</c:v>
                </c:pt>
                <c:pt idx="162">
                  <c:v>10.199999999999976</c:v>
                </c:pt>
                <c:pt idx="163">
                  <c:v>10.299999999999976</c:v>
                </c:pt>
                <c:pt idx="164">
                  <c:v>10.399999999999975</c:v>
                </c:pt>
                <c:pt idx="165">
                  <c:v>10.499999999999975</c:v>
                </c:pt>
                <c:pt idx="166">
                  <c:v>10.599999999999975</c:v>
                </c:pt>
                <c:pt idx="167">
                  <c:v>10.699999999999974</c:v>
                </c:pt>
                <c:pt idx="168">
                  <c:v>10.799999999999974</c:v>
                </c:pt>
                <c:pt idx="169">
                  <c:v>10.899999999999974</c:v>
                </c:pt>
                <c:pt idx="170">
                  <c:v>10.999999999999973</c:v>
                </c:pt>
                <c:pt idx="171">
                  <c:v>11.099999999999973</c:v>
                </c:pt>
                <c:pt idx="172">
                  <c:v>11.199999999999973</c:v>
                </c:pt>
                <c:pt idx="173">
                  <c:v>11.299999999999972</c:v>
                </c:pt>
                <c:pt idx="174">
                  <c:v>11.399999999999972</c:v>
                </c:pt>
                <c:pt idx="175">
                  <c:v>11.499999999999972</c:v>
                </c:pt>
                <c:pt idx="176">
                  <c:v>11.599999999999971</c:v>
                </c:pt>
                <c:pt idx="177">
                  <c:v>11.699999999999971</c:v>
                </c:pt>
                <c:pt idx="178">
                  <c:v>11.799999999999971</c:v>
                </c:pt>
                <c:pt idx="179">
                  <c:v>11.89999999999997</c:v>
                </c:pt>
                <c:pt idx="180">
                  <c:v>11.99999999999997</c:v>
                </c:pt>
                <c:pt idx="181">
                  <c:v>12.099999999999969</c:v>
                </c:pt>
                <c:pt idx="182">
                  <c:v>12.199999999999969</c:v>
                </c:pt>
                <c:pt idx="183">
                  <c:v>12.299999999999969</c:v>
                </c:pt>
                <c:pt idx="184">
                  <c:v>12.399999999999968</c:v>
                </c:pt>
                <c:pt idx="185">
                  <c:v>12.499999999999968</c:v>
                </c:pt>
                <c:pt idx="186">
                  <c:v>12.599999999999968</c:v>
                </c:pt>
                <c:pt idx="187">
                  <c:v>12.699999999999967</c:v>
                </c:pt>
                <c:pt idx="188">
                  <c:v>12.799999999999967</c:v>
                </c:pt>
                <c:pt idx="189">
                  <c:v>12.899999999999967</c:v>
                </c:pt>
                <c:pt idx="190">
                  <c:v>12.999999999999966</c:v>
                </c:pt>
                <c:pt idx="191">
                  <c:v>13.099999999999966</c:v>
                </c:pt>
                <c:pt idx="192">
                  <c:v>13.199999999999966</c:v>
                </c:pt>
                <c:pt idx="193">
                  <c:v>13.299999999999965</c:v>
                </c:pt>
                <c:pt idx="194">
                  <c:v>13.399999999999965</c:v>
                </c:pt>
                <c:pt idx="195">
                  <c:v>13.499999999999964</c:v>
                </c:pt>
                <c:pt idx="196">
                  <c:v>13.599999999999964</c:v>
                </c:pt>
                <c:pt idx="197">
                  <c:v>13.699999999999964</c:v>
                </c:pt>
                <c:pt idx="198">
                  <c:v>13.799999999999963</c:v>
                </c:pt>
                <c:pt idx="199">
                  <c:v>13.899999999999963</c:v>
                </c:pt>
                <c:pt idx="200">
                  <c:v>13.999999999999963</c:v>
                </c:pt>
                <c:pt idx="201">
                  <c:v>14.099999999999962</c:v>
                </c:pt>
              </c:numCache>
            </c:numRef>
          </c:cat>
          <c:val>
            <c:numRef>
              <c:f>'NT 1'!$U$8:$U$209</c:f>
              <c:numCache>
                <c:formatCode>General</c:formatCode>
                <c:ptCount val="2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539568"/>
        <c:axId val="576538000"/>
      </c:lineChart>
      <c:catAx>
        <c:axId val="576539568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crossAx val="576538000"/>
        <c:crosses val="autoZero"/>
        <c:auto val="1"/>
        <c:lblAlgn val="ctr"/>
        <c:lblOffset val="100"/>
        <c:tickMarkSkip val="10"/>
        <c:noMultiLvlLbl val="0"/>
      </c:catAx>
      <c:valAx>
        <c:axId val="576538000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5765395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Chi-Square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df = 5</c:v>
          </c:tx>
          <c:marker>
            <c:symbol val="none"/>
          </c:marker>
          <c:cat>
            <c:numRef>
              <c:f>'Chi-Sq'!$B$16:$B$66</c:f>
              <c:numCache>
                <c:formatCode>0.0</c:formatCode>
                <c:ptCount val="5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</c:numCache>
            </c:numRef>
          </c:cat>
          <c:val>
            <c:numRef>
              <c:f>'Chi-Sq'!$D$16:$D$66</c:f>
              <c:numCache>
                <c:formatCode>General</c:formatCode>
                <c:ptCount val="51"/>
                <c:pt idx="0">
                  <c:v>0</c:v>
                </c:pt>
                <c:pt idx="1">
                  <c:v>3.661594078897687E-2</c:v>
                </c:pt>
                <c:pt idx="2">
                  <c:v>8.065690817304777E-2</c:v>
                </c:pt>
                <c:pt idx="3">
                  <c:v>0.11539974210409143</c:v>
                </c:pt>
                <c:pt idx="4">
                  <c:v>0.1383691658068649</c:v>
                </c:pt>
                <c:pt idx="5">
                  <c:v>0.15060199389015105</c:v>
                </c:pt>
                <c:pt idx="6">
                  <c:v>0.15418032980376928</c:v>
                </c:pt>
                <c:pt idx="7">
                  <c:v>0.15131275347197151</c:v>
                </c:pt>
                <c:pt idx="8">
                  <c:v>0.14397591070183474</c:v>
                </c:pt>
                <c:pt idx="9">
                  <c:v>0.13379657537658299</c:v>
                </c:pt>
                <c:pt idx="10">
                  <c:v>0.12204152134938735</c:v>
                </c:pt>
                <c:pt idx="11">
                  <c:v>0.10965363173427169</c:v>
                </c:pt>
                <c:pt idx="12">
                  <c:v>9.7304346659282934E-2</c:v>
                </c:pt>
                <c:pt idx="13">
                  <c:v>8.544797596128903E-2</c:v>
                </c:pt>
                <c:pt idx="14">
                  <c:v>7.4371267720122813E-2</c:v>
                </c:pt>
                <c:pt idx="15">
                  <c:v>6.4235690815115279E-2</c:v>
                </c:pt>
                <c:pt idx="16">
                  <c:v>5.511196094424544E-2</c:v>
                </c:pt>
                <c:pt idx="17">
                  <c:v>4.7007337302917958E-2</c:v>
                </c:pt>
                <c:pt idx="18">
                  <c:v>3.988663570744206E-2</c:v>
                </c:pt>
                <c:pt idx="19">
                  <c:v>3.3688015636607886E-2</c:v>
                </c:pt>
                <c:pt idx="20">
                  <c:v>2.8334555341734478E-2</c:v>
                </c:pt>
                <c:pt idx="21">
                  <c:v>2.3742515473457661E-2</c:v>
                </c:pt>
                <c:pt idx="22">
                  <c:v>1.9827053952324078E-2</c:v>
                </c:pt>
                <c:pt idx="23">
                  <c:v>1.650601747974224E-2</c:v>
                </c:pt>
                <c:pt idx="24">
                  <c:v>1.3702310000441044E-2</c:v>
                </c:pt>
                <c:pt idx="25">
                  <c:v>1.1345230366420366E-2</c:v>
                </c:pt>
                <c:pt idx="26">
                  <c:v>9.3710813327610581E-3</c:v>
                </c:pt>
                <c:pt idx="27">
                  <c:v>7.7232787720358312E-3</c:v>
                </c:pt>
                <c:pt idx="28">
                  <c:v>6.3521316629997363E-3</c:v>
                </c:pt>
                <c:pt idx="29">
                  <c:v>5.214417740190643E-3</c:v>
                </c:pt>
                <c:pt idx="30">
                  <c:v>4.2728444746070555E-3</c:v>
                </c:pt>
                <c:pt idx="31">
                  <c:v>3.4954582850471741E-3</c:v>
                </c:pt>
                <c:pt idx="32">
                  <c:v>2.8550448163175528E-3</c:v>
                </c:pt>
                <c:pt idx="33">
                  <c:v>2.328548305300751E-3</c:v>
                </c:pt>
                <c:pt idx="34">
                  <c:v>1.8965272928167607E-3</c:v>
                </c:pt>
                <c:pt idx="35">
                  <c:v>1.5426562657966016E-3</c:v>
                </c:pt>
                <c:pt idx="36">
                  <c:v>1.2532774675207297E-3</c:v>
                </c:pt>
                <c:pt idx="37">
                  <c:v>1.0170034966242405E-3</c:v>
                </c:pt>
                <c:pt idx="38">
                  <c:v>8.2436896672611931E-4</c:v>
                </c:pt>
                <c:pt idx="39">
                  <c:v>6.6752806507455113E-4</c:v>
                </c:pt>
                <c:pt idx="40">
                  <c:v>5.3999406373927451E-4</c:v>
                </c:pt>
                <c:pt idx="41">
                  <c:v>4.364165011847201E-4</c:v>
                </c:pt>
                <c:pt idx="42">
                  <c:v>3.5239171820910289E-4</c:v>
                </c:pt>
                <c:pt idx="43">
                  <c:v>2.843025928661937E-4</c:v>
                </c:pt>
                <c:pt idx="44">
                  <c:v>2.2918359703827341E-4</c:v>
                </c:pt>
                <c:pt idx="45">
                  <c:v>1.8460763850698179E-4</c:v>
                </c:pt>
                <c:pt idx="46">
                  <c:v>1.4859151929846027E-4</c:v>
                </c:pt>
                <c:pt idx="47">
                  <c:v>1.195172088141633E-4</c:v>
                </c:pt>
                <c:pt idx="48">
                  <c:v>9.6066482864035687E-5</c:v>
                </c:pt>
                <c:pt idx="49">
                  <c:v>7.7166807693457539E-5</c:v>
                </c:pt>
                <c:pt idx="50">
                  <c:v>6.1946646447262371E-5</c:v>
                </c:pt>
              </c:numCache>
            </c:numRef>
          </c:val>
          <c:smooth val="0"/>
        </c:ser>
        <c:ser>
          <c:idx val="1"/>
          <c:order val="1"/>
          <c:tx>
            <c:v>df = 10</c:v>
          </c:tx>
          <c:marker>
            <c:symbol val="none"/>
          </c:marker>
          <c:cat>
            <c:numRef>
              <c:f>'Chi-Sq'!$B$16:$B$66</c:f>
              <c:numCache>
                <c:formatCode>0.0</c:formatCode>
                <c:ptCount val="5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</c:numCache>
            </c:numRef>
          </c:cat>
          <c:val>
            <c:numRef>
              <c:f>'Chi-Sq'!$E$16:$E$66</c:f>
              <c:numCache>
                <c:formatCode>General</c:formatCode>
                <c:ptCount val="51"/>
                <c:pt idx="0">
                  <c:v>0</c:v>
                </c:pt>
                <c:pt idx="1">
                  <c:v>6.3378969976514082E-5</c:v>
                </c:pt>
                <c:pt idx="2">
                  <c:v>7.8975346316749158E-4</c:v>
                </c:pt>
                <c:pt idx="3">
                  <c:v>3.1137443662127436E-3</c:v>
                </c:pt>
                <c:pt idx="4">
                  <c:v>7.6641550244050498E-3</c:v>
                </c:pt>
                <c:pt idx="5">
                  <c:v>1.4572387535613513E-2</c:v>
                </c:pt>
                <c:pt idx="6">
                  <c:v>2.3533259078154716E-2</c:v>
                </c:pt>
                <c:pt idx="7">
                  <c:v>3.3954365089885967E-2</c:v>
                </c:pt>
                <c:pt idx="8">
                  <c:v>4.5111761078870903E-2</c:v>
                </c:pt>
                <c:pt idx="9">
                  <c:v>5.6276392606639976E-2</c:v>
                </c:pt>
                <c:pt idx="10">
                  <c:v>6.6800942890542656E-2</c:v>
                </c:pt>
                <c:pt idx="11">
                  <c:v>7.616925585346726E-2</c:v>
                </c:pt>
                <c:pt idx="12">
                  <c:v>8.4015677870770411E-2</c:v>
                </c:pt>
                <c:pt idx="13">
                  <c:v>9.0122896311996464E-2</c:v>
                </c:pt>
                <c:pt idx="14">
                  <c:v>9.4406142704409821E-2</c:v>
                </c:pt>
                <c:pt idx="15">
                  <c:v>9.6890127275428159E-2</c:v>
                </c:pt>
                <c:pt idx="16">
                  <c:v>9.7683407406582323E-2</c:v>
                </c:pt>
                <c:pt idx="17">
                  <c:v>9.6953375676556569E-2</c:v>
                </c:pt>
                <c:pt idx="18">
                  <c:v>9.4903810270062214E-2</c:v>
                </c:pt>
                <c:pt idx="19">
                  <c:v>9.1755987187978866E-2</c:v>
                </c:pt>
                <c:pt idx="20">
                  <c:v>8.773368488392537E-2</c:v>
                </c:pt>
                <c:pt idx="21">
                  <c:v>8.3051971499934485E-2</c:v>
                </c:pt>
                <c:pt idx="22">
                  <c:v>7.7909401862698457E-2</c:v>
                </c:pt>
                <c:pt idx="23">
                  <c:v>7.2483118560877427E-2</c:v>
                </c:pt>
                <c:pt idx="24">
                  <c:v>6.6926308769991699E-2</c:v>
                </c:pt>
                <c:pt idx="25">
                  <c:v>6.1367484290685968E-2</c:v>
                </c:pt>
                <c:pt idx="26">
                  <c:v>5.5911102591969346E-2</c:v>
                </c:pt>
                <c:pt idx="27">
                  <c:v>5.0639114302806203E-2</c:v>
                </c:pt>
                <c:pt idx="28">
                  <c:v>4.561309581867487E-2</c:v>
                </c:pt>
                <c:pt idx="29">
                  <c:v>4.0876696933182535E-2</c:v>
                </c:pt>
                <c:pt idx="30">
                  <c:v>3.6458198227518335E-2</c:v>
                </c:pt>
                <c:pt idx="31">
                  <c:v>3.2373029119059205E-2</c:v>
                </c:pt>
                <c:pt idx="32">
                  <c:v>2.8626144247681014E-2</c:v>
                </c:pt>
                <c:pt idx="33">
                  <c:v>2.5214193484191967E-2</c:v>
                </c:pt>
                <c:pt idx="34">
                  <c:v>2.2127450062679709E-2</c:v>
                </c:pt>
                <c:pt idx="35">
                  <c:v>1.9351483235825539E-2</c:v>
                </c:pt>
                <c:pt idx="36">
                  <c:v>1.686857759609801E-2</c:v>
                </c:pt>
                <c:pt idx="37">
                  <c:v>1.4658911941653285E-2</c:v>
                </c:pt>
                <c:pt idx="38">
                  <c:v>1.2701517347389361E-2</c:v>
                </c:pt>
                <c:pt idx="39">
                  <c:v>1.0975037854508863E-2</c:v>
                </c:pt>
                <c:pt idx="40">
                  <c:v>9.4583187005176789E-3</c:v>
                </c:pt>
                <c:pt idx="41">
                  <c:v>8.1308469206181136E-3</c:v>
                </c:pt>
                <c:pt idx="42">
                  <c:v>6.9730679765471074E-3</c:v>
                </c:pt>
                <c:pt idx="43">
                  <c:v>5.9666002114390753E-3</c:v>
                </c:pt>
                <c:pt idx="44">
                  <c:v>5.0943666931247238E-3</c:v>
                </c:pt>
                <c:pt idx="45">
                  <c:v>4.3406616164315629E-3</c:v>
                </c:pt>
                <c:pt idx="46">
                  <c:v>3.691166045227106E-3</c:v>
                </c:pt>
                <c:pt idx="47">
                  <c:v>3.1329254933363622E-3</c:v>
                </c:pt>
                <c:pt idx="48">
                  <c:v>2.6542997366377869E-3</c:v>
                </c:pt>
                <c:pt idx="49">
                  <c:v>2.2448933534556241E-3</c:v>
                </c:pt>
                <c:pt idx="50">
                  <c:v>1.8954738220614987E-3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539176"/>
        <c:axId val="576540352"/>
      </c:lineChart>
      <c:catAx>
        <c:axId val="5765391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crossAx val="57654035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576540352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576539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Chi-Square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df = 1</c:v>
          </c:tx>
          <c:marker>
            <c:symbol val="none"/>
          </c:marker>
          <c:cat>
            <c:numRef>
              <c:f>'Chi-Sq'!$B$17:$B$66</c:f>
              <c:numCache>
                <c:formatCode>0.0</c:formatCode>
                <c:ptCount val="5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</c:numCache>
            </c:numRef>
          </c:cat>
          <c:val>
            <c:numRef>
              <c:f>'Chi-Sq'!$C$17:$C$66</c:f>
              <c:numCache>
                <c:formatCode>General</c:formatCode>
                <c:ptCount val="50"/>
                <c:pt idx="0">
                  <c:v>0.43939128946772238</c:v>
                </c:pt>
                <c:pt idx="1">
                  <c:v>0.24197072451914331</c:v>
                </c:pt>
                <c:pt idx="2">
                  <c:v>0.15386632280545529</c:v>
                </c:pt>
                <c:pt idx="3">
                  <c:v>0.10377687435514865</c:v>
                </c:pt>
                <c:pt idx="4">
                  <c:v>7.2288957067272508E-2</c:v>
                </c:pt>
                <c:pt idx="5">
                  <c:v>5.1393443267923097E-2</c:v>
                </c:pt>
                <c:pt idx="6">
                  <c:v>3.705618452374812E-2</c:v>
                </c:pt>
                <c:pt idx="7">
                  <c:v>2.6995483256594024E-2</c:v>
                </c:pt>
                <c:pt idx="8">
                  <c:v>1.9821714870604894E-2</c:v>
                </c:pt>
                <c:pt idx="9">
                  <c:v>1.4644982561926485E-2</c:v>
                </c:pt>
                <c:pt idx="10">
                  <c:v>1.087474033728314E-2</c:v>
                </c:pt>
                <c:pt idx="11">
                  <c:v>8.1086955549402439E-3</c:v>
                </c:pt>
                <c:pt idx="12">
                  <c:v>6.0673119025767344E-3</c:v>
                </c:pt>
                <c:pt idx="13">
                  <c:v>4.5533429216401732E-3</c:v>
                </c:pt>
                <c:pt idx="14">
                  <c:v>3.4259035101394828E-3</c:v>
                </c:pt>
                <c:pt idx="15">
                  <c:v>2.5833731692615066E-3</c:v>
                </c:pt>
                <c:pt idx="16">
                  <c:v>1.9518617565225447E-3</c:v>
                </c:pt>
                <c:pt idx="17">
                  <c:v>1.4772828039793355E-3</c:v>
                </c:pt>
                <c:pt idx="18">
                  <c:v>1.1198232344578794E-3</c:v>
                </c:pt>
                <c:pt idx="19">
                  <c:v>8.5003666025203423E-4</c:v>
                </c:pt>
                <c:pt idx="20">
                  <c:v>6.4605484281517439E-4</c:v>
                </c:pt>
                <c:pt idx="21">
                  <c:v>4.9157985005762153E-4</c:v>
                </c:pt>
                <c:pt idx="22">
                  <c:v>3.744276176879148E-4</c:v>
                </c:pt>
                <c:pt idx="23">
                  <c:v>2.85464791675855E-4</c:v>
                </c:pt>
                <c:pt idx="24">
                  <c:v>2.17828423035271E-4</c:v>
                </c:pt>
                <c:pt idx="25">
                  <c:v>1.6635055620285903E-4</c:v>
                </c:pt>
                <c:pt idx="26">
                  <c:v>1.271321608565569E-4</c:v>
                </c:pt>
                <c:pt idx="27">
                  <c:v>9.7226505045914372E-5</c:v>
                </c:pt>
                <c:pt idx="28">
                  <c:v>7.4403106875490743E-5</c:v>
                </c:pt>
                <c:pt idx="29">
                  <c:v>5.6971259661427418E-5</c:v>
                </c:pt>
                <c:pt idx="30">
                  <c:v>4.3647762144189506E-5</c:v>
                </c:pt>
                <c:pt idx="31">
                  <c:v>3.3457556441221335E-5</c:v>
                </c:pt>
                <c:pt idx="32">
                  <c:v>2.5658934493672183E-5</c:v>
                </c:pt>
                <c:pt idx="33">
                  <c:v>1.9687134527509615E-5</c:v>
                </c:pt>
                <c:pt idx="34">
                  <c:v>1.5111734848619759E-5</c:v>
                </c:pt>
                <c:pt idx="35">
                  <c:v>1.1604420995562321E-5</c:v>
                </c:pt>
                <c:pt idx="36">
                  <c:v>8.9145668075170811E-6</c:v>
                </c:pt>
                <c:pt idx="37">
                  <c:v>6.8507116348430993E-6</c:v>
                </c:pt>
                <c:pt idx="38">
                  <c:v>5.2664936100556295E-6</c:v>
                </c:pt>
                <c:pt idx="39">
                  <c:v>4.049955478044558E-6</c:v>
                </c:pt>
                <c:pt idx="40">
                  <c:v>3.1154063142276254E-6</c:v>
                </c:pt>
                <c:pt idx="41">
                  <c:v>2.3972225728510397E-6</c:v>
                </c:pt>
                <c:pt idx="42">
                  <c:v>1.8451222900996885E-6</c:v>
                </c:pt>
                <c:pt idx="43">
                  <c:v>1.4205594857744214E-6</c:v>
                </c:pt>
                <c:pt idx="44">
                  <c:v>1.0939711911524848E-6</c:v>
                </c:pt>
                <c:pt idx="45">
                  <c:v>8.4267402248654239E-7</c:v>
                </c:pt>
                <c:pt idx="46">
                  <c:v>6.4925600080124926E-7</c:v>
                </c:pt>
                <c:pt idx="47">
                  <c:v>5.0034626491685239E-7</c:v>
                </c:pt>
                <c:pt idx="48">
                  <c:v>3.8567334124177013E-7</c:v>
                </c:pt>
                <c:pt idx="49">
                  <c:v>2.9734390294685955E-7</c:v>
                </c:pt>
              </c:numCache>
            </c:numRef>
          </c:val>
          <c:smooth val="0"/>
        </c:ser>
        <c:ser>
          <c:idx val="1"/>
          <c:order val="1"/>
          <c:tx>
            <c:v>df = 5</c:v>
          </c:tx>
          <c:marker>
            <c:symbol val="none"/>
          </c:marker>
          <c:cat>
            <c:numRef>
              <c:f>'Chi-Sq'!$B$17:$B$66</c:f>
              <c:numCache>
                <c:formatCode>0.0</c:formatCode>
                <c:ptCount val="5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</c:numCache>
            </c:numRef>
          </c:cat>
          <c:val>
            <c:numRef>
              <c:f>'Chi-Sq'!$D$17:$D$66</c:f>
              <c:numCache>
                <c:formatCode>General</c:formatCode>
                <c:ptCount val="50"/>
                <c:pt idx="0">
                  <c:v>3.661594078897687E-2</c:v>
                </c:pt>
                <c:pt idx="1">
                  <c:v>8.065690817304777E-2</c:v>
                </c:pt>
                <c:pt idx="2">
                  <c:v>0.11539974210409143</c:v>
                </c:pt>
                <c:pt idx="3">
                  <c:v>0.1383691658068649</c:v>
                </c:pt>
                <c:pt idx="4">
                  <c:v>0.15060199389015105</c:v>
                </c:pt>
                <c:pt idx="5">
                  <c:v>0.15418032980376928</c:v>
                </c:pt>
                <c:pt idx="6">
                  <c:v>0.15131275347197151</c:v>
                </c:pt>
                <c:pt idx="7">
                  <c:v>0.14397591070183474</c:v>
                </c:pt>
                <c:pt idx="8">
                  <c:v>0.13379657537658299</c:v>
                </c:pt>
                <c:pt idx="9">
                  <c:v>0.12204152134938735</c:v>
                </c:pt>
                <c:pt idx="10">
                  <c:v>0.10965363173427169</c:v>
                </c:pt>
                <c:pt idx="11">
                  <c:v>9.7304346659282934E-2</c:v>
                </c:pt>
                <c:pt idx="12">
                  <c:v>8.544797596128903E-2</c:v>
                </c:pt>
                <c:pt idx="13">
                  <c:v>7.4371267720122813E-2</c:v>
                </c:pt>
                <c:pt idx="14">
                  <c:v>6.4235690815115279E-2</c:v>
                </c:pt>
                <c:pt idx="15">
                  <c:v>5.511196094424544E-2</c:v>
                </c:pt>
                <c:pt idx="16">
                  <c:v>4.7007337302917958E-2</c:v>
                </c:pt>
                <c:pt idx="17">
                  <c:v>3.988663570744206E-2</c:v>
                </c:pt>
                <c:pt idx="18">
                  <c:v>3.3688015636607886E-2</c:v>
                </c:pt>
                <c:pt idx="19">
                  <c:v>2.8334555341734478E-2</c:v>
                </c:pt>
                <c:pt idx="20">
                  <c:v>2.3742515473457661E-2</c:v>
                </c:pt>
                <c:pt idx="21">
                  <c:v>1.9827053952324078E-2</c:v>
                </c:pt>
                <c:pt idx="22">
                  <c:v>1.650601747974224E-2</c:v>
                </c:pt>
                <c:pt idx="23">
                  <c:v>1.3702310000441044E-2</c:v>
                </c:pt>
                <c:pt idx="24">
                  <c:v>1.1345230366420366E-2</c:v>
                </c:pt>
                <c:pt idx="25">
                  <c:v>9.3710813327610581E-3</c:v>
                </c:pt>
                <c:pt idx="26">
                  <c:v>7.7232787720358312E-3</c:v>
                </c:pt>
                <c:pt idx="27">
                  <c:v>6.3521316629997363E-3</c:v>
                </c:pt>
                <c:pt idx="28">
                  <c:v>5.214417740190643E-3</c:v>
                </c:pt>
                <c:pt idx="29">
                  <c:v>4.2728444746070555E-3</c:v>
                </c:pt>
                <c:pt idx="30">
                  <c:v>3.4954582850471741E-3</c:v>
                </c:pt>
                <c:pt idx="31">
                  <c:v>2.8550448163175528E-3</c:v>
                </c:pt>
                <c:pt idx="32">
                  <c:v>2.328548305300751E-3</c:v>
                </c:pt>
                <c:pt idx="33">
                  <c:v>1.8965272928167607E-3</c:v>
                </c:pt>
                <c:pt idx="34">
                  <c:v>1.5426562657966016E-3</c:v>
                </c:pt>
                <c:pt idx="35">
                  <c:v>1.2532774675207297E-3</c:v>
                </c:pt>
                <c:pt idx="36">
                  <c:v>1.0170034966242405E-3</c:v>
                </c:pt>
                <c:pt idx="37">
                  <c:v>8.2436896672611931E-4</c:v>
                </c:pt>
                <c:pt idx="38">
                  <c:v>6.6752806507455113E-4</c:v>
                </c:pt>
                <c:pt idx="39">
                  <c:v>5.3999406373927451E-4</c:v>
                </c:pt>
                <c:pt idx="40">
                  <c:v>4.364165011847201E-4</c:v>
                </c:pt>
                <c:pt idx="41">
                  <c:v>3.5239171820910289E-4</c:v>
                </c:pt>
                <c:pt idx="42">
                  <c:v>2.843025928661937E-4</c:v>
                </c:pt>
                <c:pt idx="43">
                  <c:v>2.2918359703827341E-4</c:v>
                </c:pt>
                <c:pt idx="44">
                  <c:v>1.8460763850698179E-4</c:v>
                </c:pt>
                <c:pt idx="45">
                  <c:v>1.4859151929846027E-4</c:v>
                </c:pt>
                <c:pt idx="46">
                  <c:v>1.195172088141633E-4</c:v>
                </c:pt>
                <c:pt idx="47">
                  <c:v>9.6066482864035687E-5</c:v>
                </c:pt>
                <c:pt idx="48">
                  <c:v>7.7166807693457539E-5</c:v>
                </c:pt>
                <c:pt idx="49">
                  <c:v>6.1946646447262371E-5</c:v>
                </c:pt>
              </c:numCache>
            </c:numRef>
          </c:val>
          <c:smooth val="0"/>
        </c:ser>
        <c:ser>
          <c:idx val="2"/>
          <c:order val="2"/>
          <c:tx>
            <c:v>df = 10</c:v>
          </c:tx>
          <c:marker>
            <c:symbol val="none"/>
          </c:marker>
          <c:cat>
            <c:numRef>
              <c:f>'Chi-Sq'!$B$17:$B$66</c:f>
              <c:numCache>
                <c:formatCode>0.0</c:formatCode>
                <c:ptCount val="5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</c:numCache>
            </c:numRef>
          </c:cat>
          <c:val>
            <c:numRef>
              <c:f>'Chi-Sq'!$E$17:$E$66</c:f>
              <c:numCache>
                <c:formatCode>General</c:formatCode>
                <c:ptCount val="50"/>
                <c:pt idx="0">
                  <c:v>6.3378969976514082E-5</c:v>
                </c:pt>
                <c:pt idx="1">
                  <c:v>7.8975346316749158E-4</c:v>
                </c:pt>
                <c:pt idx="2">
                  <c:v>3.1137443662127436E-3</c:v>
                </c:pt>
                <c:pt idx="3">
                  <c:v>7.6641550244050498E-3</c:v>
                </c:pt>
                <c:pt idx="4">
                  <c:v>1.4572387535613513E-2</c:v>
                </c:pt>
                <c:pt idx="5">
                  <c:v>2.3533259078154716E-2</c:v>
                </c:pt>
                <c:pt idx="6">
                  <c:v>3.3954365089885967E-2</c:v>
                </c:pt>
                <c:pt idx="7">
                  <c:v>4.5111761078870903E-2</c:v>
                </c:pt>
                <c:pt idx="8">
                  <c:v>5.6276392606639976E-2</c:v>
                </c:pt>
                <c:pt idx="9">
                  <c:v>6.6800942890542656E-2</c:v>
                </c:pt>
                <c:pt idx="10">
                  <c:v>7.616925585346726E-2</c:v>
                </c:pt>
                <c:pt idx="11">
                  <c:v>8.4015677870770411E-2</c:v>
                </c:pt>
                <c:pt idx="12">
                  <c:v>9.0122896311996464E-2</c:v>
                </c:pt>
                <c:pt idx="13">
                  <c:v>9.4406142704409821E-2</c:v>
                </c:pt>
                <c:pt idx="14">
                  <c:v>9.6890127275428159E-2</c:v>
                </c:pt>
                <c:pt idx="15">
                  <c:v>9.7683407406582323E-2</c:v>
                </c:pt>
                <c:pt idx="16">
                  <c:v>9.6953375676556569E-2</c:v>
                </c:pt>
                <c:pt idx="17">
                  <c:v>9.4903810270062214E-2</c:v>
                </c:pt>
                <c:pt idx="18">
                  <c:v>9.1755987187978866E-2</c:v>
                </c:pt>
                <c:pt idx="19">
                  <c:v>8.773368488392537E-2</c:v>
                </c:pt>
                <c:pt idx="20">
                  <c:v>8.3051971499934485E-2</c:v>
                </c:pt>
                <c:pt idx="21">
                  <c:v>7.7909401862698457E-2</c:v>
                </c:pt>
                <c:pt idx="22">
                  <c:v>7.2483118560877427E-2</c:v>
                </c:pt>
                <c:pt idx="23">
                  <c:v>6.6926308769991699E-2</c:v>
                </c:pt>
                <c:pt idx="24">
                  <c:v>6.1367484290685968E-2</c:v>
                </c:pt>
                <c:pt idx="25">
                  <c:v>5.5911102591969346E-2</c:v>
                </c:pt>
                <c:pt idx="26">
                  <c:v>5.0639114302806203E-2</c:v>
                </c:pt>
                <c:pt idx="27">
                  <c:v>4.561309581867487E-2</c:v>
                </c:pt>
                <c:pt idx="28">
                  <c:v>4.0876696933182535E-2</c:v>
                </c:pt>
                <c:pt idx="29">
                  <c:v>3.6458198227518335E-2</c:v>
                </c:pt>
                <c:pt idx="30">
                  <c:v>3.2373029119059205E-2</c:v>
                </c:pt>
                <c:pt idx="31">
                  <c:v>2.8626144247681014E-2</c:v>
                </c:pt>
                <c:pt idx="32">
                  <c:v>2.5214193484191967E-2</c:v>
                </c:pt>
                <c:pt idx="33">
                  <c:v>2.2127450062679709E-2</c:v>
                </c:pt>
                <c:pt idx="34">
                  <c:v>1.9351483235825539E-2</c:v>
                </c:pt>
                <c:pt idx="35">
                  <c:v>1.686857759609801E-2</c:v>
                </c:pt>
                <c:pt idx="36">
                  <c:v>1.4658911941653285E-2</c:v>
                </c:pt>
                <c:pt idx="37">
                  <c:v>1.2701517347389361E-2</c:v>
                </c:pt>
                <c:pt idx="38">
                  <c:v>1.0975037854508863E-2</c:v>
                </c:pt>
                <c:pt idx="39">
                  <c:v>9.4583187005176789E-3</c:v>
                </c:pt>
                <c:pt idx="40">
                  <c:v>8.1308469206181136E-3</c:v>
                </c:pt>
                <c:pt idx="41">
                  <c:v>6.9730679765471074E-3</c:v>
                </c:pt>
                <c:pt idx="42">
                  <c:v>5.9666002114390753E-3</c:v>
                </c:pt>
                <c:pt idx="43">
                  <c:v>5.0943666931247238E-3</c:v>
                </c:pt>
                <c:pt idx="44">
                  <c:v>4.3406616164315629E-3</c:v>
                </c:pt>
                <c:pt idx="45">
                  <c:v>3.691166045227106E-3</c:v>
                </c:pt>
                <c:pt idx="46">
                  <c:v>3.1329254933363622E-3</c:v>
                </c:pt>
                <c:pt idx="47">
                  <c:v>2.6542997366377869E-3</c:v>
                </c:pt>
                <c:pt idx="48">
                  <c:v>2.2448933534556241E-3</c:v>
                </c:pt>
                <c:pt idx="49">
                  <c:v>1.8954738220614987E-3</c:v>
                </c:pt>
              </c:numCache>
            </c:numRef>
          </c:val>
          <c:smooth val="0"/>
        </c:ser>
        <c:ser>
          <c:idx val="3"/>
          <c:order val="3"/>
          <c:tx>
            <c:v>df = 30</c:v>
          </c:tx>
          <c:marker>
            <c:symbol val="none"/>
          </c:marker>
          <c:cat>
            <c:numRef>
              <c:f>'Chi-Sq'!$B$17:$B$66</c:f>
              <c:numCache>
                <c:formatCode>0.0</c:formatCode>
                <c:ptCount val="5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</c:numCache>
            </c:numRef>
          </c:cat>
          <c:val>
            <c:numRef>
              <c:f>'Chi-Sq'!$F$17:$F$66</c:f>
              <c:numCache>
                <c:formatCode>General</c:formatCode>
                <c:ptCount val="50"/>
                <c:pt idx="0">
                  <c:v>1.6639801960298342E-20</c:v>
                </c:pt>
                <c:pt idx="1">
                  <c:v>2.1232174361531921E-16</c:v>
                </c:pt>
                <c:pt idx="2">
                  <c:v>4.8272354070163344E-14</c:v>
                </c:pt>
                <c:pt idx="3">
                  <c:v>2.1099257401562919E-12</c:v>
                </c:pt>
                <c:pt idx="4">
                  <c:v>3.7362311073962552E-11</c:v>
                </c:pt>
                <c:pt idx="5">
                  <c:v>3.7359199002323759E-10</c:v>
                </c:pt>
                <c:pt idx="6">
                  <c:v>2.5181348906610033E-9</c:v>
                </c:pt>
                <c:pt idx="7">
                  <c:v>1.2717232983276559E-8</c:v>
                </c:pt>
                <c:pt idx="8">
                  <c:v>5.1517445644036793E-8</c:v>
                </c:pt>
                <c:pt idx="9">
                  <c:v>1.7538222234784354E-7</c:v>
                </c:pt>
                <c:pt idx="10">
                  <c:v>5.1869198914969111E-7</c:v>
                </c:pt>
                <c:pt idx="11">
                  <c:v>1.365764351001487E-6</c:v>
                </c:pt>
                <c:pt idx="12">
                  <c:v>3.2619074885449244E-6</c:v>
                </c:pt>
                <c:pt idx="13">
                  <c:v>7.1694127937997707E-6</c:v>
                </c:pt>
                <c:pt idx="14">
                  <c:v>1.4668817092095687E-5</c:v>
                </c:pt>
                <c:pt idx="15">
                  <c:v>2.8198343930310267E-5</c:v>
                </c:pt>
                <c:pt idx="16">
                  <c:v>5.1316275125678344E-5</c:v>
                </c:pt>
                <c:pt idx="17">
                  <c:v>8.8963462304390755E-5</c:v>
                </c:pt>
                <c:pt idx="18">
                  <c:v>1.4769758627383015E-4</c:v>
                </c:pt>
                <c:pt idx="19">
                  <c:v>2.3586815148161517E-4</c:v>
                </c:pt>
                <c:pt idx="20">
                  <c:v>3.6370215133629049E-4</c:v>
                </c:pt>
                <c:pt idx="21">
                  <c:v>5.4327491774697504E-4</c:v>
                </c:pt>
                <c:pt idx="22">
                  <c:v>7.8834842985415631E-4</c:v>
                </c:pt>
                <c:pt idx="23">
                  <c:v>1.1140694526804355E-3</c:v>
                </c:pt>
                <c:pt idx="24">
                  <c:v>1.5365311998272934E-3</c:v>
                </c:pt>
                <c:pt idx="25">
                  <c:v>2.072213567712318E-3</c:v>
                </c:pt>
                <c:pt idx="26">
                  <c:v>2.7373272388784143E-3</c:v>
                </c:pt>
                <c:pt idx="27">
                  <c:v>3.5470951554621008E-3</c:v>
                </c:pt>
                <c:pt idx="28">
                  <c:v>4.5150103526663413E-3</c:v>
                </c:pt>
                <c:pt idx="29">
                  <c:v>5.6521115628370153E-3</c:v>
                </c:pt>
                <c:pt idx="30">
                  <c:v>6.9663173144708474E-3</c:v>
                </c:pt>
                <c:pt idx="31">
                  <c:v>8.461855697926424E-3</c:v>
                </c:pt>
                <c:pt idx="32">
                  <c:v>1.0138821013405646E-2</c:v>
                </c:pt>
                <c:pt idx="33">
                  <c:v>1.1992880770764573E-2</c:v>
                </c:pt>
                <c:pt idx="34">
                  <c:v>1.401514766618263E-2</c:v>
                </c:pt>
                <c:pt idx="35">
                  <c:v>1.6192221917503927E-2</c:v>
                </c:pt>
                <c:pt idx="36">
                  <c:v>1.8506400348280421E-2</c:v>
                </c:pt>
                <c:pt idx="37">
                  <c:v>2.0936040426336948E-2</c:v>
                </c:pt>
                <c:pt idx="38">
                  <c:v>2.3456060519275412E-2</c:v>
                </c:pt>
                <c:pt idx="39">
                  <c:v>2.6038552223013031E-2</c:v>
                </c:pt>
                <c:pt idx="40">
                  <c:v>2.8653476908645181E-2</c:v>
                </c:pt>
                <c:pt idx="41">
                  <c:v>3.1269416648032858E-2</c:v>
                </c:pt>
                <c:pt idx="42">
                  <c:v>3.3854349339468265E-2</c:v>
                </c:pt>
                <c:pt idx="43">
                  <c:v>3.6376418993475629E-2</c:v>
                </c:pt>
                <c:pt idx="44">
                  <c:v>3.880467452378384E-2</c:v>
                </c:pt>
                <c:pt idx="45">
                  <c:v>4.1109753749477083E-2</c:v>
                </c:pt>
                <c:pt idx="46">
                  <c:v>4.3264493364934244E-2</c:v>
                </c:pt>
                <c:pt idx="47">
                  <c:v>4.5244450091649076E-2</c:v>
                </c:pt>
                <c:pt idx="48">
                  <c:v>4.7028322827086293E-2</c:v>
                </c:pt>
                <c:pt idx="49">
                  <c:v>4.859827011828978E-2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535256"/>
        <c:axId val="576537216"/>
      </c:lineChart>
      <c:catAx>
        <c:axId val="57653525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576537216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576537216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576535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Area under chi-square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area</c:v>
          </c:tx>
          <c:spPr>
            <a:solidFill>
              <a:schemeClr val="accent2"/>
            </a:solidFill>
            <a:ln>
              <a:solidFill>
                <a:schemeClr val="accent1"/>
              </a:solidFill>
            </a:ln>
            <a:effectLst/>
          </c:spPr>
          <c:invertIfNegative val="0"/>
          <c:val>
            <c:numRef>
              <c:f>'Chi-Sq 0'!$B$2:$B$22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576534472"/>
        <c:axId val="576533688"/>
      </c:barChart>
      <c:lineChart>
        <c:grouping val="standard"/>
        <c:varyColors val="0"/>
        <c:ser>
          <c:idx val="0"/>
          <c:order val="0"/>
          <c:tx>
            <c:v>pdf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'Chi-Sq 0'!$A$2:$A$52</c:f>
              <c:numCache>
                <c:formatCode>0.0</c:formatCode>
                <c:ptCount val="5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</c:numCache>
            </c:numRef>
          </c:cat>
          <c:val>
            <c:numRef>
              <c:f>'Chi-Sq 0'!$B$2:$B$52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6534472"/>
        <c:axId val="576533688"/>
      </c:lineChart>
      <c:catAx>
        <c:axId val="576534472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533688"/>
        <c:crosses val="autoZero"/>
        <c:auto val="1"/>
        <c:lblAlgn val="ctr"/>
        <c:lblOffset val="100"/>
        <c:noMultiLvlLbl val="0"/>
      </c:catAx>
      <c:valAx>
        <c:axId val="576533688"/>
        <c:scaling>
          <c:orientation val="minMax"/>
          <c:max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534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Step Chart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Area A</c:v>
          </c:tx>
          <c:xVal>
            <c:numLit>
              <c:formatCode>General</c:formatCode>
              <c:ptCount val="11"/>
              <c:pt idx="0">
                <c:v>1</c:v>
              </c:pt>
              <c:pt idx="1">
                <c:v>2</c:v>
              </c:pt>
              <c:pt idx="2">
                <c:v>2</c:v>
              </c:pt>
              <c:pt idx="3">
                <c:v>3</c:v>
              </c:pt>
              <c:pt idx="4">
                <c:v>3</c:v>
              </c:pt>
              <c:pt idx="5">
                <c:v>4</c:v>
              </c:pt>
              <c:pt idx="6">
                <c:v>4</c:v>
              </c:pt>
              <c:pt idx="7">
                <c:v>5</c:v>
              </c:pt>
              <c:pt idx="8">
                <c:v>5</c:v>
              </c:pt>
              <c:pt idx="9">
                <c:v>6</c:v>
              </c:pt>
              <c:pt idx="10">
                <c:v>6</c:v>
              </c:pt>
            </c:numLit>
          </c:xVal>
          <c:yVal>
            <c:numLit>
              <c:formatCode>General</c:formatCode>
              <c:ptCount val="11"/>
              <c:pt idx="0">
                <c:v>5</c:v>
              </c:pt>
              <c:pt idx="1">
                <c:v>5</c:v>
              </c:pt>
              <c:pt idx="2">
                <c:v>7</c:v>
              </c:pt>
              <c:pt idx="3">
                <c:v>7</c:v>
              </c:pt>
              <c:pt idx="4">
                <c:v>4</c:v>
              </c:pt>
              <c:pt idx="5">
                <c:v>4</c:v>
              </c:pt>
              <c:pt idx="6">
                <c:v>8</c:v>
              </c:pt>
              <c:pt idx="7">
                <c:v>8</c:v>
              </c:pt>
              <c:pt idx="8">
                <c:v>10</c:v>
              </c:pt>
              <c:pt idx="9">
                <c:v>10</c:v>
              </c:pt>
              <c:pt idx="10">
                <c:v>14</c:v>
              </c:pt>
            </c:numLit>
          </c:yVal>
          <c:smooth val="0"/>
        </c:ser>
        <c:ser>
          <c:idx val="1"/>
          <c:order val="1"/>
          <c:tx>
            <c:v>Area B</c:v>
          </c:tx>
          <c:xVal>
            <c:numLit>
              <c:formatCode>General</c:formatCode>
              <c:ptCount val="11"/>
              <c:pt idx="0">
                <c:v>1</c:v>
              </c:pt>
              <c:pt idx="1">
                <c:v>2</c:v>
              </c:pt>
              <c:pt idx="2">
                <c:v>2</c:v>
              </c:pt>
              <c:pt idx="3">
                <c:v>3</c:v>
              </c:pt>
              <c:pt idx="4">
                <c:v>3</c:v>
              </c:pt>
              <c:pt idx="5">
                <c:v>4</c:v>
              </c:pt>
              <c:pt idx="6">
                <c:v>4</c:v>
              </c:pt>
              <c:pt idx="7">
                <c:v>5</c:v>
              </c:pt>
              <c:pt idx="8">
                <c:v>5</c:v>
              </c:pt>
              <c:pt idx="9">
                <c:v>6</c:v>
              </c:pt>
              <c:pt idx="10">
                <c:v>6</c:v>
              </c:pt>
            </c:numLit>
          </c:xVal>
          <c:yVal>
            <c:numLit>
              <c:formatCode>General</c:formatCode>
              <c:ptCount val="11"/>
              <c:pt idx="0">
                <c:v>8</c:v>
              </c:pt>
              <c:pt idx="1">
                <c:v>8</c:v>
              </c:pt>
              <c:pt idx="2">
                <c:v>10</c:v>
              </c:pt>
              <c:pt idx="3">
                <c:v>10</c:v>
              </c:pt>
              <c:pt idx="4">
                <c:v>15</c:v>
              </c:pt>
              <c:pt idx="5">
                <c:v>15</c:v>
              </c:pt>
              <c:pt idx="6">
                <c:v>17</c:v>
              </c:pt>
              <c:pt idx="7">
                <c:v>17</c:v>
              </c:pt>
              <c:pt idx="8">
                <c:v>20</c:v>
              </c:pt>
              <c:pt idx="9">
                <c:v>20</c:v>
              </c:pt>
              <c:pt idx="10">
                <c:v>25</c:v>
              </c:pt>
            </c:numLit>
          </c:yVal>
          <c:smooth val="0"/>
        </c:ser>
        <c:ser>
          <c:idx val="2"/>
          <c:order val="2"/>
          <c:tx>
            <c:v>Area C</c:v>
          </c:tx>
          <c:xVal>
            <c:numLit>
              <c:formatCode>General</c:formatCode>
              <c:ptCount val="11"/>
              <c:pt idx="0">
                <c:v>1</c:v>
              </c:pt>
              <c:pt idx="1">
                <c:v>2</c:v>
              </c:pt>
              <c:pt idx="2">
                <c:v>2</c:v>
              </c:pt>
              <c:pt idx="3">
                <c:v>3</c:v>
              </c:pt>
              <c:pt idx="4">
                <c:v>3</c:v>
              </c:pt>
              <c:pt idx="5">
                <c:v>4</c:v>
              </c:pt>
              <c:pt idx="6">
                <c:v>4</c:v>
              </c:pt>
              <c:pt idx="7">
                <c:v>5</c:v>
              </c:pt>
              <c:pt idx="8">
                <c:v>5</c:v>
              </c:pt>
              <c:pt idx="9">
                <c:v>6</c:v>
              </c:pt>
              <c:pt idx="10">
                <c:v>6</c:v>
              </c:pt>
            </c:numLit>
          </c:xVal>
          <c:yVal>
            <c:numLit>
              <c:formatCode>General</c:formatCode>
              <c:ptCount val="11"/>
              <c:pt idx="0">
                <c:v>3</c:v>
              </c:pt>
              <c:pt idx="1">
                <c:v>3</c:v>
              </c:pt>
              <c:pt idx="2">
                <c:v>5</c:v>
              </c:pt>
              <c:pt idx="3">
                <c:v>5</c:v>
              </c:pt>
              <c:pt idx="4">
                <c:v>10</c:v>
              </c:pt>
              <c:pt idx="5">
                <c:v>10</c:v>
              </c:pt>
              <c:pt idx="6">
                <c:v>10</c:v>
              </c:pt>
              <c:pt idx="7">
                <c:v>10</c:v>
              </c:pt>
              <c:pt idx="8">
                <c:v>15</c:v>
              </c:pt>
              <c:pt idx="9">
                <c:v>15</c:v>
              </c:pt>
              <c:pt idx="10">
                <c:v>20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317648"/>
        <c:axId val="684307064"/>
      </c:scatterChart>
      <c:valAx>
        <c:axId val="68431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307064"/>
        <c:crosses val="autoZero"/>
        <c:crossBetween val="midCat"/>
      </c:valAx>
      <c:valAx>
        <c:axId val="684307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843176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Shape!$E$9:$E$15</c:f>
              <c:numCache>
                <c:formatCode>General</c:formatCode>
                <c:ptCount val="7"/>
                <c:pt idx="0">
                  <c:v>26</c:v>
                </c:pt>
                <c:pt idx="1">
                  <c:v>38</c:v>
                </c:pt>
                <c:pt idx="2">
                  <c:v>50</c:v>
                </c:pt>
                <c:pt idx="3">
                  <c:v>62</c:v>
                </c:pt>
                <c:pt idx="4">
                  <c:v>74</c:v>
                </c:pt>
                <c:pt idx="5">
                  <c:v>86</c:v>
                </c:pt>
                <c:pt idx="6">
                  <c:v>98</c:v>
                </c:pt>
              </c:numCache>
            </c:numRef>
          </c:cat>
          <c:val>
            <c:numRef>
              <c:f>Shape!$F$9:$F$15</c:f>
              <c:numCache>
                <c:formatCode>General</c:formatCode>
                <c:ptCount val="7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536040"/>
        <c:axId val="576536432"/>
      </c:barChart>
      <c:catAx>
        <c:axId val="576536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6536432"/>
        <c:crosses val="autoZero"/>
        <c:auto val="1"/>
        <c:lblAlgn val="ctr"/>
        <c:lblOffset val="100"/>
        <c:noMultiLvlLbl val="0"/>
      </c:catAx>
      <c:valAx>
        <c:axId val="5765364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6536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Shape!$E$35:$E$41</c:f>
              <c:numCache>
                <c:formatCode>General</c:formatCode>
                <c:ptCount val="7"/>
                <c:pt idx="0">
                  <c:v>26</c:v>
                </c:pt>
                <c:pt idx="1">
                  <c:v>38</c:v>
                </c:pt>
                <c:pt idx="2">
                  <c:v>50</c:v>
                </c:pt>
                <c:pt idx="3">
                  <c:v>62</c:v>
                </c:pt>
                <c:pt idx="4">
                  <c:v>74</c:v>
                </c:pt>
                <c:pt idx="5">
                  <c:v>86</c:v>
                </c:pt>
                <c:pt idx="6">
                  <c:v>98</c:v>
                </c:pt>
              </c:numCache>
            </c:numRef>
          </c:cat>
          <c:val>
            <c:numRef>
              <c:f>Shape!$F$35:$F$41</c:f>
              <c:numCache>
                <c:formatCode>General</c:formatCode>
                <c:ptCount val="7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536824"/>
        <c:axId val="576537608"/>
      </c:barChart>
      <c:catAx>
        <c:axId val="576536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6537608"/>
        <c:crosses val="autoZero"/>
        <c:auto val="1"/>
        <c:lblAlgn val="ctr"/>
        <c:lblOffset val="100"/>
        <c:noMultiLvlLbl val="0"/>
      </c:catAx>
      <c:valAx>
        <c:axId val="5765376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6536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Noncentral Chi-square (df = 5)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'NCHI 1'!$B$7</c:f>
              <c:strCache>
                <c:ptCount val="1"/>
                <c:pt idx="0">
                  <c:v>ncp 0</c:v>
                </c:pt>
              </c:strCache>
            </c:strRef>
          </c:tx>
          <c:marker>
            <c:symbol val="none"/>
          </c:marker>
          <c:xVal>
            <c:numRef>
              <c:f>'NCHI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0.3</c:v>
                </c:pt>
                <c:pt idx="2">
                  <c:v>0.6</c:v>
                </c:pt>
                <c:pt idx="3">
                  <c:v>0.89999999999999991</c:v>
                </c:pt>
                <c:pt idx="4">
                  <c:v>1.2</c:v>
                </c:pt>
                <c:pt idx="5">
                  <c:v>1.5</c:v>
                </c:pt>
                <c:pt idx="6">
                  <c:v>1.8</c:v>
                </c:pt>
                <c:pt idx="7">
                  <c:v>2.1</c:v>
                </c:pt>
                <c:pt idx="8">
                  <c:v>2.4</c:v>
                </c:pt>
                <c:pt idx="9">
                  <c:v>2.6999999999999997</c:v>
                </c:pt>
                <c:pt idx="10">
                  <c:v>2.9999999999999996</c:v>
                </c:pt>
                <c:pt idx="11">
                  <c:v>3.2999999999999994</c:v>
                </c:pt>
                <c:pt idx="12">
                  <c:v>3.5999999999999992</c:v>
                </c:pt>
                <c:pt idx="13">
                  <c:v>3.899999999999999</c:v>
                </c:pt>
                <c:pt idx="14">
                  <c:v>4.1999999999999993</c:v>
                </c:pt>
                <c:pt idx="15">
                  <c:v>4.4999999999999991</c:v>
                </c:pt>
                <c:pt idx="16">
                  <c:v>4.7999999999999989</c:v>
                </c:pt>
                <c:pt idx="17">
                  <c:v>5.0999999999999988</c:v>
                </c:pt>
                <c:pt idx="18">
                  <c:v>5.3999999999999986</c:v>
                </c:pt>
                <c:pt idx="19">
                  <c:v>5.6999999999999984</c:v>
                </c:pt>
                <c:pt idx="20">
                  <c:v>5.9999999999999982</c:v>
                </c:pt>
                <c:pt idx="21">
                  <c:v>6.299999999999998</c:v>
                </c:pt>
                <c:pt idx="22">
                  <c:v>6.5999999999999979</c:v>
                </c:pt>
                <c:pt idx="23">
                  <c:v>6.8999999999999977</c:v>
                </c:pt>
                <c:pt idx="24">
                  <c:v>7.1999999999999975</c:v>
                </c:pt>
                <c:pt idx="25">
                  <c:v>7.4999999999999973</c:v>
                </c:pt>
                <c:pt idx="26">
                  <c:v>7.7999999999999972</c:v>
                </c:pt>
                <c:pt idx="27">
                  <c:v>8.0999999999999979</c:v>
                </c:pt>
                <c:pt idx="28">
                  <c:v>8.3999999999999986</c:v>
                </c:pt>
                <c:pt idx="29">
                  <c:v>8.6999999999999993</c:v>
                </c:pt>
                <c:pt idx="30">
                  <c:v>9</c:v>
                </c:pt>
                <c:pt idx="31">
                  <c:v>9.3000000000000007</c:v>
                </c:pt>
                <c:pt idx="32">
                  <c:v>9.6000000000000014</c:v>
                </c:pt>
                <c:pt idx="33">
                  <c:v>9.9000000000000021</c:v>
                </c:pt>
                <c:pt idx="34">
                  <c:v>10.200000000000003</c:v>
                </c:pt>
                <c:pt idx="35">
                  <c:v>10.500000000000004</c:v>
                </c:pt>
                <c:pt idx="36">
                  <c:v>10.800000000000004</c:v>
                </c:pt>
                <c:pt idx="37">
                  <c:v>11.100000000000005</c:v>
                </c:pt>
                <c:pt idx="38">
                  <c:v>11.400000000000006</c:v>
                </c:pt>
                <c:pt idx="39">
                  <c:v>11.700000000000006</c:v>
                </c:pt>
                <c:pt idx="40">
                  <c:v>12.000000000000007</c:v>
                </c:pt>
                <c:pt idx="41">
                  <c:v>12.300000000000008</c:v>
                </c:pt>
                <c:pt idx="42">
                  <c:v>12.600000000000009</c:v>
                </c:pt>
                <c:pt idx="43">
                  <c:v>12.900000000000009</c:v>
                </c:pt>
                <c:pt idx="44">
                  <c:v>13.20000000000001</c:v>
                </c:pt>
                <c:pt idx="45">
                  <c:v>13.500000000000011</c:v>
                </c:pt>
                <c:pt idx="46">
                  <c:v>13.800000000000011</c:v>
                </c:pt>
                <c:pt idx="47">
                  <c:v>14.100000000000012</c:v>
                </c:pt>
                <c:pt idx="48">
                  <c:v>14.400000000000013</c:v>
                </c:pt>
                <c:pt idx="49">
                  <c:v>14.700000000000014</c:v>
                </c:pt>
                <c:pt idx="50">
                  <c:v>15.000000000000014</c:v>
                </c:pt>
                <c:pt idx="51">
                  <c:v>15.300000000000015</c:v>
                </c:pt>
                <c:pt idx="52">
                  <c:v>15.600000000000016</c:v>
                </c:pt>
                <c:pt idx="53">
                  <c:v>15.900000000000016</c:v>
                </c:pt>
                <c:pt idx="54">
                  <c:v>16.200000000000017</c:v>
                </c:pt>
                <c:pt idx="55">
                  <c:v>16.500000000000018</c:v>
                </c:pt>
                <c:pt idx="56">
                  <c:v>16.800000000000018</c:v>
                </c:pt>
                <c:pt idx="57">
                  <c:v>17.100000000000019</c:v>
                </c:pt>
                <c:pt idx="58">
                  <c:v>17.40000000000002</c:v>
                </c:pt>
                <c:pt idx="59">
                  <c:v>17.700000000000021</c:v>
                </c:pt>
                <c:pt idx="60">
                  <c:v>18.000000000000021</c:v>
                </c:pt>
                <c:pt idx="61">
                  <c:v>18.300000000000022</c:v>
                </c:pt>
                <c:pt idx="62">
                  <c:v>18.600000000000023</c:v>
                </c:pt>
                <c:pt idx="63">
                  <c:v>18.900000000000023</c:v>
                </c:pt>
                <c:pt idx="64">
                  <c:v>19.200000000000024</c:v>
                </c:pt>
                <c:pt idx="65">
                  <c:v>19.500000000000025</c:v>
                </c:pt>
                <c:pt idx="66">
                  <c:v>19.800000000000026</c:v>
                </c:pt>
                <c:pt idx="67">
                  <c:v>20.100000000000026</c:v>
                </c:pt>
                <c:pt idx="68">
                  <c:v>20.400000000000027</c:v>
                </c:pt>
                <c:pt idx="69">
                  <c:v>20.700000000000028</c:v>
                </c:pt>
                <c:pt idx="70">
                  <c:v>21.000000000000028</c:v>
                </c:pt>
                <c:pt idx="71">
                  <c:v>21.300000000000029</c:v>
                </c:pt>
                <c:pt idx="72">
                  <c:v>21.60000000000003</c:v>
                </c:pt>
                <c:pt idx="73">
                  <c:v>21.900000000000031</c:v>
                </c:pt>
                <c:pt idx="74">
                  <c:v>22.200000000000031</c:v>
                </c:pt>
                <c:pt idx="75">
                  <c:v>22.500000000000032</c:v>
                </c:pt>
                <c:pt idx="76">
                  <c:v>22.800000000000033</c:v>
                </c:pt>
                <c:pt idx="77">
                  <c:v>23.100000000000033</c:v>
                </c:pt>
                <c:pt idx="78">
                  <c:v>23.400000000000034</c:v>
                </c:pt>
                <c:pt idx="79">
                  <c:v>23.700000000000035</c:v>
                </c:pt>
                <c:pt idx="80">
                  <c:v>24.000000000000036</c:v>
                </c:pt>
                <c:pt idx="81">
                  <c:v>24.300000000000036</c:v>
                </c:pt>
                <c:pt idx="82">
                  <c:v>24.600000000000037</c:v>
                </c:pt>
                <c:pt idx="83">
                  <c:v>24.900000000000038</c:v>
                </c:pt>
                <c:pt idx="84">
                  <c:v>25.200000000000038</c:v>
                </c:pt>
                <c:pt idx="85">
                  <c:v>25.500000000000039</c:v>
                </c:pt>
                <c:pt idx="86">
                  <c:v>25.80000000000004</c:v>
                </c:pt>
                <c:pt idx="87">
                  <c:v>26.100000000000041</c:v>
                </c:pt>
                <c:pt idx="88">
                  <c:v>26.400000000000041</c:v>
                </c:pt>
                <c:pt idx="89">
                  <c:v>26.700000000000042</c:v>
                </c:pt>
                <c:pt idx="90">
                  <c:v>27.000000000000043</c:v>
                </c:pt>
                <c:pt idx="91">
                  <c:v>27.300000000000043</c:v>
                </c:pt>
                <c:pt idx="92">
                  <c:v>27.600000000000044</c:v>
                </c:pt>
                <c:pt idx="93">
                  <c:v>27.900000000000045</c:v>
                </c:pt>
                <c:pt idx="94">
                  <c:v>28.200000000000045</c:v>
                </c:pt>
                <c:pt idx="95">
                  <c:v>28.500000000000046</c:v>
                </c:pt>
                <c:pt idx="96">
                  <c:v>28.800000000000047</c:v>
                </c:pt>
                <c:pt idx="97">
                  <c:v>29.100000000000048</c:v>
                </c:pt>
                <c:pt idx="98">
                  <c:v>29.400000000000048</c:v>
                </c:pt>
                <c:pt idx="99">
                  <c:v>29.700000000000049</c:v>
                </c:pt>
                <c:pt idx="100">
                  <c:v>30.00000000000005</c:v>
                </c:pt>
                <c:pt idx="101">
                  <c:v>30.30000000000005</c:v>
                </c:pt>
              </c:numCache>
            </c:numRef>
          </c:xVal>
          <c:yVal>
            <c:numRef>
              <c:f>'NCHI 1'!$B$8:$B$109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'NCHI 1'!$C$7</c:f>
              <c:strCache>
                <c:ptCount val="1"/>
                <c:pt idx="0">
                  <c:v>ncp 2</c:v>
                </c:pt>
              </c:strCache>
            </c:strRef>
          </c:tx>
          <c:marker>
            <c:symbol val="none"/>
          </c:marker>
          <c:xVal>
            <c:numRef>
              <c:f>'NCHI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0.3</c:v>
                </c:pt>
                <c:pt idx="2">
                  <c:v>0.6</c:v>
                </c:pt>
                <c:pt idx="3">
                  <c:v>0.89999999999999991</c:v>
                </c:pt>
                <c:pt idx="4">
                  <c:v>1.2</c:v>
                </c:pt>
                <c:pt idx="5">
                  <c:v>1.5</c:v>
                </c:pt>
                <c:pt idx="6">
                  <c:v>1.8</c:v>
                </c:pt>
                <c:pt idx="7">
                  <c:v>2.1</c:v>
                </c:pt>
                <c:pt idx="8">
                  <c:v>2.4</c:v>
                </c:pt>
                <c:pt idx="9">
                  <c:v>2.6999999999999997</c:v>
                </c:pt>
                <c:pt idx="10">
                  <c:v>2.9999999999999996</c:v>
                </c:pt>
                <c:pt idx="11">
                  <c:v>3.2999999999999994</c:v>
                </c:pt>
                <c:pt idx="12">
                  <c:v>3.5999999999999992</c:v>
                </c:pt>
                <c:pt idx="13">
                  <c:v>3.899999999999999</c:v>
                </c:pt>
                <c:pt idx="14">
                  <c:v>4.1999999999999993</c:v>
                </c:pt>
                <c:pt idx="15">
                  <c:v>4.4999999999999991</c:v>
                </c:pt>
                <c:pt idx="16">
                  <c:v>4.7999999999999989</c:v>
                </c:pt>
                <c:pt idx="17">
                  <c:v>5.0999999999999988</c:v>
                </c:pt>
                <c:pt idx="18">
                  <c:v>5.3999999999999986</c:v>
                </c:pt>
                <c:pt idx="19">
                  <c:v>5.6999999999999984</c:v>
                </c:pt>
                <c:pt idx="20">
                  <c:v>5.9999999999999982</c:v>
                </c:pt>
                <c:pt idx="21">
                  <c:v>6.299999999999998</c:v>
                </c:pt>
                <c:pt idx="22">
                  <c:v>6.5999999999999979</c:v>
                </c:pt>
                <c:pt idx="23">
                  <c:v>6.8999999999999977</c:v>
                </c:pt>
                <c:pt idx="24">
                  <c:v>7.1999999999999975</c:v>
                </c:pt>
                <c:pt idx="25">
                  <c:v>7.4999999999999973</c:v>
                </c:pt>
                <c:pt idx="26">
                  <c:v>7.7999999999999972</c:v>
                </c:pt>
                <c:pt idx="27">
                  <c:v>8.0999999999999979</c:v>
                </c:pt>
                <c:pt idx="28">
                  <c:v>8.3999999999999986</c:v>
                </c:pt>
                <c:pt idx="29">
                  <c:v>8.6999999999999993</c:v>
                </c:pt>
                <c:pt idx="30">
                  <c:v>9</c:v>
                </c:pt>
                <c:pt idx="31">
                  <c:v>9.3000000000000007</c:v>
                </c:pt>
                <c:pt idx="32">
                  <c:v>9.6000000000000014</c:v>
                </c:pt>
                <c:pt idx="33">
                  <c:v>9.9000000000000021</c:v>
                </c:pt>
                <c:pt idx="34">
                  <c:v>10.200000000000003</c:v>
                </c:pt>
                <c:pt idx="35">
                  <c:v>10.500000000000004</c:v>
                </c:pt>
                <c:pt idx="36">
                  <c:v>10.800000000000004</c:v>
                </c:pt>
                <c:pt idx="37">
                  <c:v>11.100000000000005</c:v>
                </c:pt>
                <c:pt idx="38">
                  <c:v>11.400000000000006</c:v>
                </c:pt>
                <c:pt idx="39">
                  <c:v>11.700000000000006</c:v>
                </c:pt>
                <c:pt idx="40">
                  <c:v>12.000000000000007</c:v>
                </c:pt>
                <c:pt idx="41">
                  <c:v>12.300000000000008</c:v>
                </c:pt>
                <c:pt idx="42">
                  <c:v>12.600000000000009</c:v>
                </c:pt>
                <c:pt idx="43">
                  <c:v>12.900000000000009</c:v>
                </c:pt>
                <c:pt idx="44">
                  <c:v>13.20000000000001</c:v>
                </c:pt>
                <c:pt idx="45">
                  <c:v>13.500000000000011</c:v>
                </c:pt>
                <c:pt idx="46">
                  <c:v>13.800000000000011</c:v>
                </c:pt>
                <c:pt idx="47">
                  <c:v>14.100000000000012</c:v>
                </c:pt>
                <c:pt idx="48">
                  <c:v>14.400000000000013</c:v>
                </c:pt>
                <c:pt idx="49">
                  <c:v>14.700000000000014</c:v>
                </c:pt>
                <c:pt idx="50">
                  <c:v>15.000000000000014</c:v>
                </c:pt>
                <c:pt idx="51">
                  <c:v>15.300000000000015</c:v>
                </c:pt>
                <c:pt idx="52">
                  <c:v>15.600000000000016</c:v>
                </c:pt>
                <c:pt idx="53">
                  <c:v>15.900000000000016</c:v>
                </c:pt>
                <c:pt idx="54">
                  <c:v>16.200000000000017</c:v>
                </c:pt>
                <c:pt idx="55">
                  <c:v>16.500000000000018</c:v>
                </c:pt>
                <c:pt idx="56">
                  <c:v>16.800000000000018</c:v>
                </c:pt>
                <c:pt idx="57">
                  <c:v>17.100000000000019</c:v>
                </c:pt>
                <c:pt idx="58">
                  <c:v>17.40000000000002</c:v>
                </c:pt>
                <c:pt idx="59">
                  <c:v>17.700000000000021</c:v>
                </c:pt>
                <c:pt idx="60">
                  <c:v>18.000000000000021</c:v>
                </c:pt>
                <c:pt idx="61">
                  <c:v>18.300000000000022</c:v>
                </c:pt>
                <c:pt idx="62">
                  <c:v>18.600000000000023</c:v>
                </c:pt>
                <c:pt idx="63">
                  <c:v>18.900000000000023</c:v>
                </c:pt>
                <c:pt idx="64">
                  <c:v>19.200000000000024</c:v>
                </c:pt>
                <c:pt idx="65">
                  <c:v>19.500000000000025</c:v>
                </c:pt>
                <c:pt idx="66">
                  <c:v>19.800000000000026</c:v>
                </c:pt>
                <c:pt idx="67">
                  <c:v>20.100000000000026</c:v>
                </c:pt>
                <c:pt idx="68">
                  <c:v>20.400000000000027</c:v>
                </c:pt>
                <c:pt idx="69">
                  <c:v>20.700000000000028</c:v>
                </c:pt>
                <c:pt idx="70">
                  <c:v>21.000000000000028</c:v>
                </c:pt>
                <c:pt idx="71">
                  <c:v>21.300000000000029</c:v>
                </c:pt>
                <c:pt idx="72">
                  <c:v>21.60000000000003</c:v>
                </c:pt>
                <c:pt idx="73">
                  <c:v>21.900000000000031</c:v>
                </c:pt>
                <c:pt idx="74">
                  <c:v>22.200000000000031</c:v>
                </c:pt>
                <c:pt idx="75">
                  <c:v>22.500000000000032</c:v>
                </c:pt>
                <c:pt idx="76">
                  <c:v>22.800000000000033</c:v>
                </c:pt>
                <c:pt idx="77">
                  <c:v>23.100000000000033</c:v>
                </c:pt>
                <c:pt idx="78">
                  <c:v>23.400000000000034</c:v>
                </c:pt>
                <c:pt idx="79">
                  <c:v>23.700000000000035</c:v>
                </c:pt>
                <c:pt idx="80">
                  <c:v>24.000000000000036</c:v>
                </c:pt>
                <c:pt idx="81">
                  <c:v>24.300000000000036</c:v>
                </c:pt>
                <c:pt idx="82">
                  <c:v>24.600000000000037</c:v>
                </c:pt>
                <c:pt idx="83">
                  <c:v>24.900000000000038</c:v>
                </c:pt>
                <c:pt idx="84">
                  <c:v>25.200000000000038</c:v>
                </c:pt>
                <c:pt idx="85">
                  <c:v>25.500000000000039</c:v>
                </c:pt>
                <c:pt idx="86">
                  <c:v>25.80000000000004</c:v>
                </c:pt>
                <c:pt idx="87">
                  <c:v>26.100000000000041</c:v>
                </c:pt>
                <c:pt idx="88">
                  <c:v>26.400000000000041</c:v>
                </c:pt>
                <c:pt idx="89">
                  <c:v>26.700000000000042</c:v>
                </c:pt>
                <c:pt idx="90">
                  <c:v>27.000000000000043</c:v>
                </c:pt>
                <c:pt idx="91">
                  <c:v>27.300000000000043</c:v>
                </c:pt>
                <c:pt idx="92">
                  <c:v>27.600000000000044</c:v>
                </c:pt>
                <c:pt idx="93">
                  <c:v>27.900000000000045</c:v>
                </c:pt>
                <c:pt idx="94">
                  <c:v>28.200000000000045</c:v>
                </c:pt>
                <c:pt idx="95">
                  <c:v>28.500000000000046</c:v>
                </c:pt>
                <c:pt idx="96">
                  <c:v>28.800000000000047</c:v>
                </c:pt>
                <c:pt idx="97">
                  <c:v>29.100000000000048</c:v>
                </c:pt>
                <c:pt idx="98">
                  <c:v>29.400000000000048</c:v>
                </c:pt>
                <c:pt idx="99">
                  <c:v>29.700000000000049</c:v>
                </c:pt>
                <c:pt idx="100">
                  <c:v>30.00000000000005</c:v>
                </c:pt>
                <c:pt idx="101">
                  <c:v>30.30000000000005</c:v>
                </c:pt>
              </c:numCache>
            </c:numRef>
          </c:xVal>
          <c:yVal>
            <c:numRef>
              <c:f>'NCHI 1'!$C$8:$C$109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'NCHI 1'!$D$7</c:f>
              <c:strCache>
                <c:ptCount val="1"/>
                <c:pt idx="0">
                  <c:v>ncp 4</c:v>
                </c:pt>
              </c:strCache>
            </c:strRef>
          </c:tx>
          <c:marker>
            <c:symbol val="none"/>
          </c:marker>
          <c:xVal>
            <c:numRef>
              <c:f>'NCHI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0.3</c:v>
                </c:pt>
                <c:pt idx="2">
                  <c:v>0.6</c:v>
                </c:pt>
                <c:pt idx="3">
                  <c:v>0.89999999999999991</c:v>
                </c:pt>
                <c:pt idx="4">
                  <c:v>1.2</c:v>
                </c:pt>
                <c:pt idx="5">
                  <c:v>1.5</c:v>
                </c:pt>
                <c:pt idx="6">
                  <c:v>1.8</c:v>
                </c:pt>
                <c:pt idx="7">
                  <c:v>2.1</c:v>
                </c:pt>
                <c:pt idx="8">
                  <c:v>2.4</c:v>
                </c:pt>
                <c:pt idx="9">
                  <c:v>2.6999999999999997</c:v>
                </c:pt>
                <c:pt idx="10">
                  <c:v>2.9999999999999996</c:v>
                </c:pt>
                <c:pt idx="11">
                  <c:v>3.2999999999999994</c:v>
                </c:pt>
                <c:pt idx="12">
                  <c:v>3.5999999999999992</c:v>
                </c:pt>
                <c:pt idx="13">
                  <c:v>3.899999999999999</c:v>
                </c:pt>
                <c:pt idx="14">
                  <c:v>4.1999999999999993</c:v>
                </c:pt>
                <c:pt idx="15">
                  <c:v>4.4999999999999991</c:v>
                </c:pt>
                <c:pt idx="16">
                  <c:v>4.7999999999999989</c:v>
                </c:pt>
                <c:pt idx="17">
                  <c:v>5.0999999999999988</c:v>
                </c:pt>
                <c:pt idx="18">
                  <c:v>5.3999999999999986</c:v>
                </c:pt>
                <c:pt idx="19">
                  <c:v>5.6999999999999984</c:v>
                </c:pt>
                <c:pt idx="20">
                  <c:v>5.9999999999999982</c:v>
                </c:pt>
                <c:pt idx="21">
                  <c:v>6.299999999999998</c:v>
                </c:pt>
                <c:pt idx="22">
                  <c:v>6.5999999999999979</c:v>
                </c:pt>
                <c:pt idx="23">
                  <c:v>6.8999999999999977</c:v>
                </c:pt>
                <c:pt idx="24">
                  <c:v>7.1999999999999975</c:v>
                </c:pt>
                <c:pt idx="25">
                  <c:v>7.4999999999999973</c:v>
                </c:pt>
                <c:pt idx="26">
                  <c:v>7.7999999999999972</c:v>
                </c:pt>
                <c:pt idx="27">
                  <c:v>8.0999999999999979</c:v>
                </c:pt>
                <c:pt idx="28">
                  <c:v>8.3999999999999986</c:v>
                </c:pt>
                <c:pt idx="29">
                  <c:v>8.6999999999999993</c:v>
                </c:pt>
                <c:pt idx="30">
                  <c:v>9</c:v>
                </c:pt>
                <c:pt idx="31">
                  <c:v>9.3000000000000007</c:v>
                </c:pt>
                <c:pt idx="32">
                  <c:v>9.6000000000000014</c:v>
                </c:pt>
                <c:pt idx="33">
                  <c:v>9.9000000000000021</c:v>
                </c:pt>
                <c:pt idx="34">
                  <c:v>10.200000000000003</c:v>
                </c:pt>
                <c:pt idx="35">
                  <c:v>10.500000000000004</c:v>
                </c:pt>
                <c:pt idx="36">
                  <c:v>10.800000000000004</c:v>
                </c:pt>
                <c:pt idx="37">
                  <c:v>11.100000000000005</c:v>
                </c:pt>
                <c:pt idx="38">
                  <c:v>11.400000000000006</c:v>
                </c:pt>
                <c:pt idx="39">
                  <c:v>11.700000000000006</c:v>
                </c:pt>
                <c:pt idx="40">
                  <c:v>12.000000000000007</c:v>
                </c:pt>
                <c:pt idx="41">
                  <c:v>12.300000000000008</c:v>
                </c:pt>
                <c:pt idx="42">
                  <c:v>12.600000000000009</c:v>
                </c:pt>
                <c:pt idx="43">
                  <c:v>12.900000000000009</c:v>
                </c:pt>
                <c:pt idx="44">
                  <c:v>13.20000000000001</c:v>
                </c:pt>
                <c:pt idx="45">
                  <c:v>13.500000000000011</c:v>
                </c:pt>
                <c:pt idx="46">
                  <c:v>13.800000000000011</c:v>
                </c:pt>
                <c:pt idx="47">
                  <c:v>14.100000000000012</c:v>
                </c:pt>
                <c:pt idx="48">
                  <c:v>14.400000000000013</c:v>
                </c:pt>
                <c:pt idx="49">
                  <c:v>14.700000000000014</c:v>
                </c:pt>
                <c:pt idx="50">
                  <c:v>15.000000000000014</c:v>
                </c:pt>
                <c:pt idx="51">
                  <c:v>15.300000000000015</c:v>
                </c:pt>
                <c:pt idx="52">
                  <c:v>15.600000000000016</c:v>
                </c:pt>
                <c:pt idx="53">
                  <c:v>15.900000000000016</c:v>
                </c:pt>
                <c:pt idx="54">
                  <c:v>16.200000000000017</c:v>
                </c:pt>
                <c:pt idx="55">
                  <c:v>16.500000000000018</c:v>
                </c:pt>
                <c:pt idx="56">
                  <c:v>16.800000000000018</c:v>
                </c:pt>
                <c:pt idx="57">
                  <c:v>17.100000000000019</c:v>
                </c:pt>
                <c:pt idx="58">
                  <c:v>17.40000000000002</c:v>
                </c:pt>
                <c:pt idx="59">
                  <c:v>17.700000000000021</c:v>
                </c:pt>
                <c:pt idx="60">
                  <c:v>18.000000000000021</c:v>
                </c:pt>
                <c:pt idx="61">
                  <c:v>18.300000000000022</c:v>
                </c:pt>
                <c:pt idx="62">
                  <c:v>18.600000000000023</c:v>
                </c:pt>
                <c:pt idx="63">
                  <c:v>18.900000000000023</c:v>
                </c:pt>
                <c:pt idx="64">
                  <c:v>19.200000000000024</c:v>
                </c:pt>
                <c:pt idx="65">
                  <c:v>19.500000000000025</c:v>
                </c:pt>
                <c:pt idx="66">
                  <c:v>19.800000000000026</c:v>
                </c:pt>
                <c:pt idx="67">
                  <c:v>20.100000000000026</c:v>
                </c:pt>
                <c:pt idx="68">
                  <c:v>20.400000000000027</c:v>
                </c:pt>
                <c:pt idx="69">
                  <c:v>20.700000000000028</c:v>
                </c:pt>
                <c:pt idx="70">
                  <c:v>21.000000000000028</c:v>
                </c:pt>
                <c:pt idx="71">
                  <c:v>21.300000000000029</c:v>
                </c:pt>
                <c:pt idx="72">
                  <c:v>21.60000000000003</c:v>
                </c:pt>
                <c:pt idx="73">
                  <c:v>21.900000000000031</c:v>
                </c:pt>
                <c:pt idx="74">
                  <c:v>22.200000000000031</c:v>
                </c:pt>
                <c:pt idx="75">
                  <c:v>22.500000000000032</c:v>
                </c:pt>
                <c:pt idx="76">
                  <c:v>22.800000000000033</c:v>
                </c:pt>
                <c:pt idx="77">
                  <c:v>23.100000000000033</c:v>
                </c:pt>
                <c:pt idx="78">
                  <c:v>23.400000000000034</c:v>
                </c:pt>
                <c:pt idx="79">
                  <c:v>23.700000000000035</c:v>
                </c:pt>
                <c:pt idx="80">
                  <c:v>24.000000000000036</c:v>
                </c:pt>
                <c:pt idx="81">
                  <c:v>24.300000000000036</c:v>
                </c:pt>
                <c:pt idx="82">
                  <c:v>24.600000000000037</c:v>
                </c:pt>
                <c:pt idx="83">
                  <c:v>24.900000000000038</c:v>
                </c:pt>
                <c:pt idx="84">
                  <c:v>25.200000000000038</c:v>
                </c:pt>
                <c:pt idx="85">
                  <c:v>25.500000000000039</c:v>
                </c:pt>
                <c:pt idx="86">
                  <c:v>25.80000000000004</c:v>
                </c:pt>
                <c:pt idx="87">
                  <c:v>26.100000000000041</c:v>
                </c:pt>
                <c:pt idx="88">
                  <c:v>26.400000000000041</c:v>
                </c:pt>
                <c:pt idx="89">
                  <c:v>26.700000000000042</c:v>
                </c:pt>
                <c:pt idx="90">
                  <c:v>27.000000000000043</c:v>
                </c:pt>
                <c:pt idx="91">
                  <c:v>27.300000000000043</c:v>
                </c:pt>
                <c:pt idx="92">
                  <c:v>27.600000000000044</c:v>
                </c:pt>
                <c:pt idx="93">
                  <c:v>27.900000000000045</c:v>
                </c:pt>
                <c:pt idx="94">
                  <c:v>28.200000000000045</c:v>
                </c:pt>
                <c:pt idx="95">
                  <c:v>28.500000000000046</c:v>
                </c:pt>
                <c:pt idx="96">
                  <c:v>28.800000000000047</c:v>
                </c:pt>
                <c:pt idx="97">
                  <c:v>29.100000000000048</c:v>
                </c:pt>
                <c:pt idx="98">
                  <c:v>29.400000000000048</c:v>
                </c:pt>
                <c:pt idx="99">
                  <c:v>29.700000000000049</c:v>
                </c:pt>
                <c:pt idx="100">
                  <c:v>30.00000000000005</c:v>
                </c:pt>
                <c:pt idx="101">
                  <c:v>30.30000000000005</c:v>
                </c:pt>
              </c:numCache>
            </c:numRef>
          </c:xVal>
          <c:yVal>
            <c:numRef>
              <c:f>'NCHI 1'!$D$8:$D$109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'NCHI 1'!$E$7</c:f>
              <c:strCache>
                <c:ptCount val="1"/>
                <c:pt idx="0">
                  <c:v> ncp 6</c:v>
                </c:pt>
              </c:strCache>
            </c:strRef>
          </c:tx>
          <c:marker>
            <c:symbol val="none"/>
          </c:marker>
          <c:xVal>
            <c:numRef>
              <c:f>'NCHI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0.3</c:v>
                </c:pt>
                <c:pt idx="2">
                  <c:v>0.6</c:v>
                </c:pt>
                <c:pt idx="3">
                  <c:v>0.89999999999999991</c:v>
                </c:pt>
                <c:pt idx="4">
                  <c:v>1.2</c:v>
                </c:pt>
                <c:pt idx="5">
                  <c:v>1.5</c:v>
                </c:pt>
                <c:pt idx="6">
                  <c:v>1.8</c:v>
                </c:pt>
                <c:pt idx="7">
                  <c:v>2.1</c:v>
                </c:pt>
                <c:pt idx="8">
                  <c:v>2.4</c:v>
                </c:pt>
                <c:pt idx="9">
                  <c:v>2.6999999999999997</c:v>
                </c:pt>
                <c:pt idx="10">
                  <c:v>2.9999999999999996</c:v>
                </c:pt>
                <c:pt idx="11">
                  <c:v>3.2999999999999994</c:v>
                </c:pt>
                <c:pt idx="12">
                  <c:v>3.5999999999999992</c:v>
                </c:pt>
                <c:pt idx="13">
                  <c:v>3.899999999999999</c:v>
                </c:pt>
                <c:pt idx="14">
                  <c:v>4.1999999999999993</c:v>
                </c:pt>
                <c:pt idx="15">
                  <c:v>4.4999999999999991</c:v>
                </c:pt>
                <c:pt idx="16">
                  <c:v>4.7999999999999989</c:v>
                </c:pt>
                <c:pt idx="17">
                  <c:v>5.0999999999999988</c:v>
                </c:pt>
                <c:pt idx="18">
                  <c:v>5.3999999999999986</c:v>
                </c:pt>
                <c:pt idx="19">
                  <c:v>5.6999999999999984</c:v>
                </c:pt>
                <c:pt idx="20">
                  <c:v>5.9999999999999982</c:v>
                </c:pt>
                <c:pt idx="21">
                  <c:v>6.299999999999998</c:v>
                </c:pt>
                <c:pt idx="22">
                  <c:v>6.5999999999999979</c:v>
                </c:pt>
                <c:pt idx="23">
                  <c:v>6.8999999999999977</c:v>
                </c:pt>
                <c:pt idx="24">
                  <c:v>7.1999999999999975</c:v>
                </c:pt>
                <c:pt idx="25">
                  <c:v>7.4999999999999973</c:v>
                </c:pt>
                <c:pt idx="26">
                  <c:v>7.7999999999999972</c:v>
                </c:pt>
                <c:pt idx="27">
                  <c:v>8.0999999999999979</c:v>
                </c:pt>
                <c:pt idx="28">
                  <c:v>8.3999999999999986</c:v>
                </c:pt>
                <c:pt idx="29">
                  <c:v>8.6999999999999993</c:v>
                </c:pt>
                <c:pt idx="30">
                  <c:v>9</c:v>
                </c:pt>
                <c:pt idx="31">
                  <c:v>9.3000000000000007</c:v>
                </c:pt>
                <c:pt idx="32">
                  <c:v>9.6000000000000014</c:v>
                </c:pt>
                <c:pt idx="33">
                  <c:v>9.9000000000000021</c:v>
                </c:pt>
                <c:pt idx="34">
                  <c:v>10.200000000000003</c:v>
                </c:pt>
                <c:pt idx="35">
                  <c:v>10.500000000000004</c:v>
                </c:pt>
                <c:pt idx="36">
                  <c:v>10.800000000000004</c:v>
                </c:pt>
                <c:pt idx="37">
                  <c:v>11.100000000000005</c:v>
                </c:pt>
                <c:pt idx="38">
                  <c:v>11.400000000000006</c:v>
                </c:pt>
                <c:pt idx="39">
                  <c:v>11.700000000000006</c:v>
                </c:pt>
                <c:pt idx="40">
                  <c:v>12.000000000000007</c:v>
                </c:pt>
                <c:pt idx="41">
                  <c:v>12.300000000000008</c:v>
                </c:pt>
                <c:pt idx="42">
                  <c:v>12.600000000000009</c:v>
                </c:pt>
                <c:pt idx="43">
                  <c:v>12.900000000000009</c:v>
                </c:pt>
                <c:pt idx="44">
                  <c:v>13.20000000000001</c:v>
                </c:pt>
                <c:pt idx="45">
                  <c:v>13.500000000000011</c:v>
                </c:pt>
                <c:pt idx="46">
                  <c:v>13.800000000000011</c:v>
                </c:pt>
                <c:pt idx="47">
                  <c:v>14.100000000000012</c:v>
                </c:pt>
                <c:pt idx="48">
                  <c:v>14.400000000000013</c:v>
                </c:pt>
                <c:pt idx="49">
                  <c:v>14.700000000000014</c:v>
                </c:pt>
                <c:pt idx="50">
                  <c:v>15.000000000000014</c:v>
                </c:pt>
                <c:pt idx="51">
                  <c:v>15.300000000000015</c:v>
                </c:pt>
                <c:pt idx="52">
                  <c:v>15.600000000000016</c:v>
                </c:pt>
                <c:pt idx="53">
                  <c:v>15.900000000000016</c:v>
                </c:pt>
                <c:pt idx="54">
                  <c:v>16.200000000000017</c:v>
                </c:pt>
                <c:pt idx="55">
                  <c:v>16.500000000000018</c:v>
                </c:pt>
                <c:pt idx="56">
                  <c:v>16.800000000000018</c:v>
                </c:pt>
                <c:pt idx="57">
                  <c:v>17.100000000000019</c:v>
                </c:pt>
                <c:pt idx="58">
                  <c:v>17.40000000000002</c:v>
                </c:pt>
                <c:pt idx="59">
                  <c:v>17.700000000000021</c:v>
                </c:pt>
                <c:pt idx="60">
                  <c:v>18.000000000000021</c:v>
                </c:pt>
                <c:pt idx="61">
                  <c:v>18.300000000000022</c:v>
                </c:pt>
                <c:pt idx="62">
                  <c:v>18.600000000000023</c:v>
                </c:pt>
                <c:pt idx="63">
                  <c:v>18.900000000000023</c:v>
                </c:pt>
                <c:pt idx="64">
                  <c:v>19.200000000000024</c:v>
                </c:pt>
                <c:pt idx="65">
                  <c:v>19.500000000000025</c:v>
                </c:pt>
                <c:pt idx="66">
                  <c:v>19.800000000000026</c:v>
                </c:pt>
                <c:pt idx="67">
                  <c:v>20.100000000000026</c:v>
                </c:pt>
                <c:pt idx="68">
                  <c:v>20.400000000000027</c:v>
                </c:pt>
                <c:pt idx="69">
                  <c:v>20.700000000000028</c:v>
                </c:pt>
                <c:pt idx="70">
                  <c:v>21.000000000000028</c:v>
                </c:pt>
                <c:pt idx="71">
                  <c:v>21.300000000000029</c:v>
                </c:pt>
                <c:pt idx="72">
                  <c:v>21.60000000000003</c:v>
                </c:pt>
                <c:pt idx="73">
                  <c:v>21.900000000000031</c:v>
                </c:pt>
                <c:pt idx="74">
                  <c:v>22.200000000000031</c:v>
                </c:pt>
                <c:pt idx="75">
                  <c:v>22.500000000000032</c:v>
                </c:pt>
                <c:pt idx="76">
                  <c:v>22.800000000000033</c:v>
                </c:pt>
                <c:pt idx="77">
                  <c:v>23.100000000000033</c:v>
                </c:pt>
                <c:pt idx="78">
                  <c:v>23.400000000000034</c:v>
                </c:pt>
                <c:pt idx="79">
                  <c:v>23.700000000000035</c:v>
                </c:pt>
                <c:pt idx="80">
                  <c:v>24.000000000000036</c:v>
                </c:pt>
                <c:pt idx="81">
                  <c:v>24.300000000000036</c:v>
                </c:pt>
                <c:pt idx="82">
                  <c:v>24.600000000000037</c:v>
                </c:pt>
                <c:pt idx="83">
                  <c:v>24.900000000000038</c:v>
                </c:pt>
                <c:pt idx="84">
                  <c:v>25.200000000000038</c:v>
                </c:pt>
                <c:pt idx="85">
                  <c:v>25.500000000000039</c:v>
                </c:pt>
                <c:pt idx="86">
                  <c:v>25.80000000000004</c:v>
                </c:pt>
                <c:pt idx="87">
                  <c:v>26.100000000000041</c:v>
                </c:pt>
                <c:pt idx="88">
                  <c:v>26.400000000000041</c:v>
                </c:pt>
                <c:pt idx="89">
                  <c:v>26.700000000000042</c:v>
                </c:pt>
                <c:pt idx="90">
                  <c:v>27.000000000000043</c:v>
                </c:pt>
                <c:pt idx="91">
                  <c:v>27.300000000000043</c:v>
                </c:pt>
                <c:pt idx="92">
                  <c:v>27.600000000000044</c:v>
                </c:pt>
                <c:pt idx="93">
                  <c:v>27.900000000000045</c:v>
                </c:pt>
                <c:pt idx="94">
                  <c:v>28.200000000000045</c:v>
                </c:pt>
                <c:pt idx="95">
                  <c:v>28.500000000000046</c:v>
                </c:pt>
                <c:pt idx="96">
                  <c:v>28.800000000000047</c:v>
                </c:pt>
                <c:pt idx="97">
                  <c:v>29.100000000000048</c:v>
                </c:pt>
                <c:pt idx="98">
                  <c:v>29.400000000000048</c:v>
                </c:pt>
                <c:pt idx="99">
                  <c:v>29.700000000000049</c:v>
                </c:pt>
                <c:pt idx="100">
                  <c:v>30.00000000000005</c:v>
                </c:pt>
                <c:pt idx="101">
                  <c:v>30.30000000000005</c:v>
                </c:pt>
              </c:numCache>
            </c:numRef>
          </c:xVal>
          <c:yVal>
            <c:numRef>
              <c:f>'NCHI 1'!$E$8:$E$109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519968"/>
        <c:axId val="576510560"/>
      </c:scatterChart>
      <c:valAx>
        <c:axId val="576519968"/>
        <c:scaling>
          <c:orientation val="minMax"/>
          <c:max val="30"/>
        </c:scaling>
        <c:delete val="0"/>
        <c:axPos val="b"/>
        <c:numFmt formatCode="General" sourceLinked="1"/>
        <c:majorTickMark val="out"/>
        <c:minorTickMark val="none"/>
        <c:tickLblPos val="nextTo"/>
        <c:crossAx val="576510560"/>
        <c:crosses val="autoZero"/>
        <c:crossBetween val="midCat"/>
      </c:valAx>
      <c:valAx>
        <c:axId val="576510560"/>
        <c:scaling>
          <c:orientation val="minMax"/>
          <c:max val="0.16000000000000003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5765199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Noncentral F pdf (df = 5, 10)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'NF 1'!$B$7</c:f>
              <c:strCache>
                <c:ptCount val="1"/>
                <c:pt idx="0">
                  <c:v>ncp 0</c:v>
                </c:pt>
              </c:strCache>
            </c:strRef>
          </c:tx>
          <c:marker>
            <c:symbol val="none"/>
          </c:marker>
          <c:cat>
            <c:numRef>
              <c:f>'NF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</c:numCache>
            </c:numRef>
          </c:cat>
          <c:val>
            <c:numRef>
              <c:f>'NF 1'!$B$8:$B$109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'NF 1'!$C$7</c:f>
              <c:strCache>
                <c:ptCount val="1"/>
                <c:pt idx="0">
                  <c:v>ncp 1</c:v>
                </c:pt>
              </c:strCache>
            </c:strRef>
          </c:tx>
          <c:marker>
            <c:symbol val="none"/>
          </c:marker>
          <c:cat>
            <c:numRef>
              <c:f>'NF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</c:numCache>
            </c:numRef>
          </c:cat>
          <c:val>
            <c:numRef>
              <c:f>'NF 1'!$C$8:$C$109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'NF 1'!$D$7</c:f>
              <c:strCache>
                <c:ptCount val="1"/>
                <c:pt idx="0">
                  <c:v>ncp 5</c:v>
                </c:pt>
              </c:strCache>
            </c:strRef>
          </c:tx>
          <c:marker>
            <c:symbol val="none"/>
          </c:marker>
          <c:cat>
            <c:numRef>
              <c:f>'NF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</c:numCache>
            </c:numRef>
          </c:cat>
          <c:val>
            <c:numRef>
              <c:f>'NF 1'!$D$8:$D$109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'NF 1'!$E$7</c:f>
              <c:strCache>
                <c:ptCount val="1"/>
                <c:pt idx="0">
                  <c:v>ncp 10</c:v>
                </c:pt>
              </c:strCache>
            </c:strRef>
          </c:tx>
          <c:marker>
            <c:symbol val="none"/>
          </c:marker>
          <c:cat>
            <c:numRef>
              <c:f>'NF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</c:numCache>
            </c:numRef>
          </c:cat>
          <c:val>
            <c:numRef>
              <c:f>'NF 1'!$E$8:$E$109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'NF 1'!$F$7</c:f>
              <c:strCache>
                <c:ptCount val="1"/>
                <c:pt idx="0">
                  <c:v>ncp 20</c:v>
                </c:pt>
              </c:strCache>
            </c:strRef>
          </c:tx>
          <c:marker>
            <c:symbol val="none"/>
          </c:marker>
          <c:cat>
            <c:numRef>
              <c:f>'NF 1'!$A$8:$A$109</c:f>
              <c:numCache>
                <c:formatCode>General</c:formatCode>
                <c:ptCount val="10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</c:numCache>
            </c:numRef>
          </c:cat>
          <c:val>
            <c:numRef>
              <c:f>'NF 1'!$F$8:$F$109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512128"/>
        <c:axId val="576510168"/>
      </c:lineChart>
      <c:catAx>
        <c:axId val="576512128"/>
        <c:scaling>
          <c:orientation val="minMax"/>
        </c:scaling>
        <c:delete val="0"/>
        <c:axPos val="b"/>
        <c:numFmt formatCode="#,##0.0" sourceLinked="0"/>
        <c:majorTickMark val="out"/>
        <c:minorTickMark val="none"/>
        <c:tickLblPos val="nextTo"/>
        <c:crossAx val="576510168"/>
        <c:crosses val="autoZero"/>
        <c:auto val="1"/>
        <c:lblAlgn val="ctr"/>
        <c:lblOffset val="100"/>
        <c:tickMarkSkip val="5"/>
        <c:noMultiLvlLbl val="0"/>
      </c:catAx>
      <c:valAx>
        <c:axId val="576510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76512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Frequency Function f(x)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'Prob 1'!$B$3</c:f>
              <c:strCache>
                <c:ptCount val="1"/>
                <c:pt idx="0">
                  <c:v>f(x)</c:v>
                </c:pt>
              </c:strCache>
            </c:strRef>
          </c:tx>
          <c:invertIfNegative val="0"/>
          <c:val>
            <c:numRef>
              <c:f>'Prob 1'!$B$4:$B$11</c:f>
              <c:numCache>
                <c:formatCode>General</c:formatCode>
                <c:ptCount val="8"/>
                <c:pt idx="0">
                  <c:v>0.12</c:v>
                </c:pt>
                <c:pt idx="1">
                  <c:v>0.25</c:v>
                </c:pt>
                <c:pt idx="2">
                  <c:v>0.08</c:v>
                </c:pt>
                <c:pt idx="3">
                  <c:v>0.14000000000000001</c:v>
                </c:pt>
                <c:pt idx="4">
                  <c:v>0.09</c:v>
                </c:pt>
                <c:pt idx="5">
                  <c:v>0.18</c:v>
                </c:pt>
                <c:pt idx="6">
                  <c:v>0.09</c:v>
                </c:pt>
                <c:pt idx="7">
                  <c:v>0.05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318040"/>
        <c:axId val="684320000"/>
      </c:barChart>
      <c:catAx>
        <c:axId val="684318040"/>
        <c:scaling>
          <c:orientation val="minMax"/>
        </c:scaling>
        <c:delete val="0"/>
        <c:axPos val="b"/>
        <c:majorTickMark val="out"/>
        <c:minorTickMark val="none"/>
        <c:tickLblPos val="nextTo"/>
        <c:crossAx val="684320000"/>
        <c:crosses val="autoZero"/>
        <c:auto val="1"/>
        <c:lblAlgn val="ctr"/>
        <c:lblOffset val="100"/>
        <c:noMultiLvlLbl val="0"/>
      </c:catAx>
      <c:valAx>
        <c:axId val="684320000"/>
        <c:scaling>
          <c:orientation val="minMax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684318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4.xml"/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7.xml"/><Relationship Id="rId2" Type="http://schemas.openxmlformats.org/officeDocument/2006/relationships/chart" Target="../charts/chart56.xml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1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3.xml"/><Relationship Id="rId1" Type="http://schemas.openxmlformats.org/officeDocument/2006/relationships/chart" Target="../charts/chart62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4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6.xml"/><Relationship Id="rId1" Type="http://schemas.openxmlformats.org/officeDocument/2006/relationships/chart" Target="../charts/chart65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7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8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6.xml"/><Relationship Id="rId1" Type="http://schemas.openxmlformats.org/officeDocument/2006/relationships/chart" Target="../charts/chart75.xml"/></Relationships>
</file>

<file path=xl/drawings/_rels/drawing4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9.xml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1.xml"/><Relationship Id="rId1" Type="http://schemas.openxmlformats.org/officeDocument/2006/relationships/chart" Target="../charts/chart80.xml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15875</xdr:colOff>
      <xdr:row>1</xdr:row>
      <xdr:rowOff>104774</xdr:rowOff>
    </xdr:from>
    <xdr:to>
      <xdr:col>12</xdr:col>
      <xdr:colOff>19050</xdr:colOff>
      <xdr:row>14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2</xdr:row>
      <xdr:rowOff>4762</xdr:rowOff>
    </xdr:from>
    <xdr:to>
      <xdr:col>16</xdr:col>
      <xdr:colOff>295275</xdr:colOff>
      <xdr:row>16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571500</xdr:colOff>
      <xdr:row>20</xdr:row>
      <xdr:rowOff>0</xdr:rowOff>
    </xdr:from>
    <xdr:to>
      <xdr:col>16</xdr:col>
      <xdr:colOff>266700</xdr:colOff>
      <xdr:row>34</xdr:row>
      <xdr:rowOff>52387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2</xdr:row>
      <xdr:rowOff>4762</xdr:rowOff>
    </xdr:from>
    <xdr:to>
      <xdr:col>16</xdr:col>
      <xdr:colOff>276225</xdr:colOff>
      <xdr:row>16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581025</xdr:colOff>
      <xdr:row>21</xdr:row>
      <xdr:rowOff>4762</xdr:rowOff>
    </xdr:from>
    <xdr:to>
      <xdr:col>16</xdr:col>
      <xdr:colOff>276225</xdr:colOff>
      <xdr:row>35</xdr:row>
      <xdr:rowOff>80962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1</xdr:row>
      <xdr:rowOff>71437</xdr:rowOff>
    </xdr:from>
    <xdr:to>
      <xdr:col>15</xdr:col>
      <xdr:colOff>466725</xdr:colOff>
      <xdr:row>15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171450</xdr:colOff>
      <xdr:row>18</xdr:row>
      <xdr:rowOff>33337</xdr:rowOff>
    </xdr:from>
    <xdr:to>
      <xdr:col>15</xdr:col>
      <xdr:colOff>476250</xdr:colOff>
      <xdr:row>32</xdr:row>
      <xdr:rowOff>109537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2</xdr:row>
      <xdr:rowOff>14287</xdr:rowOff>
    </xdr:from>
    <xdr:to>
      <xdr:col>15</xdr:col>
      <xdr:colOff>466725</xdr:colOff>
      <xdr:row>16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2</xdr:row>
      <xdr:rowOff>157162</xdr:rowOff>
    </xdr:from>
    <xdr:to>
      <xdr:col>15</xdr:col>
      <xdr:colOff>495300</xdr:colOff>
      <xdr:row>17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</xdr:colOff>
      <xdr:row>2</xdr:row>
      <xdr:rowOff>138112</xdr:rowOff>
    </xdr:from>
    <xdr:to>
      <xdr:col>15</xdr:col>
      <xdr:colOff>476250</xdr:colOff>
      <xdr:row>17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1</xdr:row>
      <xdr:rowOff>4762</xdr:rowOff>
    </xdr:from>
    <xdr:to>
      <xdr:col>18</xdr:col>
      <xdr:colOff>19050</xdr:colOff>
      <xdr:row>15</xdr:row>
      <xdr:rowOff>80962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1</xdr:row>
      <xdr:rowOff>185737</xdr:rowOff>
    </xdr:from>
    <xdr:to>
      <xdr:col>11</xdr:col>
      <xdr:colOff>247650</xdr:colOff>
      <xdr:row>16</xdr:row>
      <xdr:rowOff>71437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3</xdr:row>
      <xdr:rowOff>71437</xdr:rowOff>
    </xdr:from>
    <xdr:to>
      <xdr:col>15</xdr:col>
      <xdr:colOff>504825</xdr:colOff>
      <xdr:row>17</xdr:row>
      <xdr:rowOff>147637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219075</xdr:colOff>
      <xdr:row>39</xdr:row>
      <xdr:rowOff>71437</xdr:rowOff>
    </xdr:from>
    <xdr:to>
      <xdr:col>22</xdr:col>
      <xdr:colOff>523875</xdr:colOff>
      <xdr:row>53</xdr:row>
      <xdr:rowOff>147637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16</xdr:row>
      <xdr:rowOff>71437</xdr:rowOff>
    </xdr:from>
    <xdr:to>
      <xdr:col>11</xdr:col>
      <xdr:colOff>323850</xdr:colOff>
      <xdr:row>30</xdr:row>
      <xdr:rowOff>147637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</xdr:row>
      <xdr:rowOff>19050</xdr:rowOff>
    </xdr:from>
    <xdr:to>
      <xdr:col>8</xdr:col>
      <xdr:colOff>495300</xdr:colOff>
      <xdr:row>13</xdr:row>
      <xdr:rowOff>43815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3</xdr:row>
      <xdr:rowOff>4762</xdr:rowOff>
    </xdr:from>
    <xdr:to>
      <xdr:col>13</xdr:col>
      <xdr:colOff>47625</xdr:colOff>
      <xdr:row>17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57150</xdr:colOff>
      <xdr:row>106</xdr:row>
      <xdr:rowOff>61912</xdr:rowOff>
    </xdr:from>
    <xdr:to>
      <xdr:col>13</xdr:col>
      <xdr:colOff>361950</xdr:colOff>
      <xdr:row>120</xdr:row>
      <xdr:rowOff>138112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19050</xdr:colOff>
      <xdr:row>138</xdr:row>
      <xdr:rowOff>4762</xdr:rowOff>
    </xdr:from>
    <xdr:to>
      <xdr:col>13</xdr:col>
      <xdr:colOff>323850</xdr:colOff>
      <xdr:row>152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371475</xdr:colOff>
      <xdr:row>1</xdr:row>
      <xdr:rowOff>185737</xdr:rowOff>
    </xdr:from>
    <xdr:to>
      <xdr:col>13</xdr:col>
      <xdr:colOff>428625</xdr:colOff>
      <xdr:row>15</xdr:row>
      <xdr:rowOff>113347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361950</xdr:colOff>
      <xdr:row>8</xdr:row>
      <xdr:rowOff>157162</xdr:rowOff>
    </xdr:from>
    <xdr:to>
      <xdr:col>24</xdr:col>
      <xdr:colOff>571500</xdr:colOff>
      <xdr:row>23</xdr:row>
      <xdr:rowOff>42862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2</xdr:row>
      <xdr:rowOff>80962</xdr:rowOff>
    </xdr:from>
    <xdr:to>
      <xdr:col>12</xdr:col>
      <xdr:colOff>504825</xdr:colOff>
      <xdr:row>16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247650</xdr:colOff>
      <xdr:row>18</xdr:row>
      <xdr:rowOff>195262</xdr:rowOff>
    </xdr:from>
    <xdr:to>
      <xdr:col>12</xdr:col>
      <xdr:colOff>552450</xdr:colOff>
      <xdr:row>33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408517</xdr:colOff>
      <xdr:row>6</xdr:row>
      <xdr:rowOff>58738</xdr:rowOff>
    </xdr:from>
    <xdr:to>
      <xdr:col>12</xdr:col>
      <xdr:colOff>103717</xdr:colOff>
      <xdr:row>20</xdr:row>
      <xdr:rowOff>134938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21</xdr:row>
      <xdr:rowOff>147637</xdr:rowOff>
    </xdr:from>
    <xdr:to>
      <xdr:col>11</xdr:col>
      <xdr:colOff>190500</xdr:colOff>
      <xdr:row>36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180975</xdr:colOff>
      <xdr:row>2</xdr:row>
      <xdr:rowOff>42862</xdr:rowOff>
    </xdr:from>
    <xdr:to>
      <xdr:col>22</xdr:col>
      <xdr:colOff>485775</xdr:colOff>
      <xdr:row>16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9525</xdr:colOff>
      <xdr:row>40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4276725" y="1671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3</xdr:col>
      <xdr:colOff>219075</xdr:colOff>
      <xdr:row>2</xdr:row>
      <xdr:rowOff>4762</xdr:rowOff>
    </xdr:from>
    <xdr:to>
      <xdr:col>10</xdr:col>
      <xdr:colOff>523875</xdr:colOff>
      <xdr:row>16</xdr:row>
      <xdr:rowOff>80962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27</xdr:row>
      <xdr:rowOff>95250</xdr:rowOff>
    </xdr:from>
    <xdr:to>
      <xdr:col>10</xdr:col>
      <xdr:colOff>542925</xdr:colOff>
      <xdr:row>41</xdr:row>
      <xdr:rowOff>166687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9525</xdr:colOff>
      <xdr:row>8</xdr:row>
      <xdr:rowOff>66675</xdr:rowOff>
    </xdr:from>
    <xdr:ext cx="184731" cy="264560"/>
    <xdr:sp macro="" textlink="">
      <xdr:nvSpPr>
        <xdr:cNvPr id="2" name="TextBox 1"/>
        <xdr:cNvSpPr txBox="1"/>
      </xdr:nvSpPr>
      <xdr:spPr>
        <a:xfrm>
          <a:off x="4276725" y="101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5</xdr:col>
      <xdr:colOff>19050</xdr:colOff>
      <xdr:row>9</xdr:row>
      <xdr:rowOff>109537</xdr:rowOff>
    </xdr:from>
    <xdr:to>
      <xdr:col>12</xdr:col>
      <xdr:colOff>323850</xdr:colOff>
      <xdr:row>23</xdr:row>
      <xdr:rowOff>185737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152400</xdr:colOff>
      <xdr:row>2</xdr:row>
      <xdr:rowOff>138112</xdr:rowOff>
    </xdr:from>
    <xdr:to>
      <xdr:col>19</xdr:col>
      <xdr:colOff>457200</xdr:colOff>
      <xdr:row>17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161925</xdr:colOff>
      <xdr:row>17</xdr:row>
      <xdr:rowOff>90487</xdr:rowOff>
    </xdr:from>
    <xdr:to>
      <xdr:col>19</xdr:col>
      <xdr:colOff>466725</xdr:colOff>
      <xdr:row>31</xdr:row>
      <xdr:rowOff>166687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190500</xdr:colOff>
      <xdr:row>32</xdr:row>
      <xdr:rowOff>33337</xdr:rowOff>
    </xdr:from>
    <xdr:to>
      <xdr:col>19</xdr:col>
      <xdr:colOff>495300</xdr:colOff>
      <xdr:row>46</xdr:row>
      <xdr:rowOff>109537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0</xdr:row>
      <xdr:rowOff>119062</xdr:rowOff>
    </xdr:from>
    <xdr:to>
      <xdr:col>17</xdr:col>
      <xdr:colOff>371475</xdr:colOff>
      <xdr:row>15</xdr:row>
      <xdr:rowOff>4762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66675</xdr:colOff>
      <xdr:row>15</xdr:row>
      <xdr:rowOff>180975</xdr:rowOff>
    </xdr:from>
    <xdr:to>
      <xdr:col>17</xdr:col>
      <xdr:colOff>371475</xdr:colOff>
      <xdr:row>30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57150</xdr:colOff>
      <xdr:row>31</xdr:row>
      <xdr:rowOff>161925</xdr:rowOff>
    </xdr:from>
    <xdr:to>
      <xdr:col>17</xdr:col>
      <xdr:colOff>361950</xdr:colOff>
      <xdr:row>46</xdr:row>
      <xdr:rowOff>47625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</xdr:row>
      <xdr:rowOff>100012</xdr:rowOff>
    </xdr:from>
    <xdr:to>
      <xdr:col>10</xdr:col>
      <xdr:colOff>361950</xdr:colOff>
      <xdr:row>15</xdr:row>
      <xdr:rowOff>73342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19050</xdr:colOff>
      <xdr:row>1</xdr:row>
      <xdr:rowOff>176212</xdr:rowOff>
    </xdr:from>
    <xdr:to>
      <xdr:col>18</xdr:col>
      <xdr:colOff>306388</xdr:colOff>
      <xdr:row>14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209550</xdr:colOff>
      <xdr:row>19</xdr:row>
      <xdr:rowOff>33337</xdr:rowOff>
    </xdr:from>
    <xdr:to>
      <xdr:col>10</xdr:col>
      <xdr:colOff>315913</xdr:colOff>
      <xdr:row>32</xdr:row>
      <xdr:rowOff>180975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10</xdr:row>
      <xdr:rowOff>14287</xdr:rowOff>
    </xdr:from>
    <xdr:to>
      <xdr:col>10</xdr:col>
      <xdr:colOff>600075</xdr:colOff>
      <xdr:row>24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142875</xdr:colOff>
      <xdr:row>7</xdr:row>
      <xdr:rowOff>61912</xdr:rowOff>
    </xdr:from>
    <xdr:to>
      <xdr:col>22</xdr:col>
      <xdr:colOff>447675</xdr:colOff>
      <xdr:row>21</xdr:row>
      <xdr:rowOff>138112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0.60417</cdr:x>
      <cdr:y>0.23785</cdr:y>
    </cdr:from>
    <cdr:to>
      <cdr:x>0.60625</cdr:x>
      <cdr:y>0.87674</cdr:y>
    </cdr:to>
    <cdr:cxnSp macro="">
      <cdr:nvCxnSpPr>
        <cdr:cNvPr id="3" name="Straight Connector 2"/>
        <cdr:cNvCxnSpPr/>
      </cdr:nvCxnSpPr>
      <cdr:spPr>
        <a:xfrm xmlns:a="http://schemas.openxmlformats.org/drawingml/2006/main" flipV="1">
          <a:off x="2762250" y="652463"/>
          <a:ext cx="9525" cy="17526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0.59792</cdr:x>
      <cdr:y>0.26215</cdr:y>
    </cdr:from>
    <cdr:to>
      <cdr:x>0.79792</cdr:x>
      <cdr:y>0.36285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733675" y="719138"/>
          <a:ext cx="91440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1100">
              <a:solidFill>
                <a:srgbClr val="FF0000"/>
              </a:solidFill>
            </a:rPr>
            <a:t>critical value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8</xdr:row>
      <xdr:rowOff>80962</xdr:rowOff>
    </xdr:from>
    <xdr:to>
      <xdr:col>10</xdr:col>
      <xdr:colOff>561975</xdr:colOff>
      <xdr:row>22</xdr:row>
      <xdr:rowOff>157162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333375</xdr:colOff>
      <xdr:row>2</xdr:row>
      <xdr:rowOff>176212</xdr:rowOff>
    </xdr:from>
    <xdr:to>
      <xdr:col>18</xdr:col>
      <xdr:colOff>28575</xdr:colOff>
      <xdr:row>17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14</xdr:row>
      <xdr:rowOff>128587</xdr:rowOff>
    </xdr:from>
    <xdr:to>
      <xdr:col>13</xdr:col>
      <xdr:colOff>304800</xdr:colOff>
      <xdr:row>29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4</xdr:row>
      <xdr:rowOff>119062</xdr:rowOff>
    </xdr:from>
    <xdr:to>
      <xdr:col>13</xdr:col>
      <xdr:colOff>457200</xdr:colOff>
      <xdr:row>19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6</xdr:row>
      <xdr:rowOff>42862</xdr:rowOff>
    </xdr:from>
    <xdr:to>
      <xdr:col>10</xdr:col>
      <xdr:colOff>504825</xdr:colOff>
      <xdr:row>20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104775</xdr:colOff>
      <xdr:row>0</xdr:row>
      <xdr:rowOff>61912</xdr:rowOff>
    </xdr:from>
    <xdr:to>
      <xdr:col>18</xdr:col>
      <xdr:colOff>409575</xdr:colOff>
      <xdr:row>14</xdr:row>
      <xdr:rowOff>138112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4</xdr:row>
      <xdr:rowOff>38100</xdr:rowOff>
    </xdr:from>
    <xdr:to>
      <xdr:col>3</xdr:col>
      <xdr:colOff>333375</xdr:colOff>
      <xdr:row>7</xdr:row>
      <xdr:rowOff>38100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7150" y="800100"/>
          <a:ext cx="2581275" cy="571500"/>
        </a:xfrm>
        <a:prstGeom prst="rect">
          <a:avLst/>
        </a:prstGeom>
        <a:noFill/>
      </xdr:spPr>
    </xdr:pic>
    <xdr:clientData/>
  </xdr:twoCellAnchor>
  <xdr:twoCellAnchor>
    <xdr:from>
      <xdr:col>8</xdr:col>
      <xdr:colOff>47625</xdr:colOff>
      <xdr:row>18</xdr:row>
      <xdr:rowOff>176212</xdr:rowOff>
    </xdr:from>
    <xdr:to>
      <xdr:col>15</xdr:col>
      <xdr:colOff>352425</xdr:colOff>
      <xdr:row>33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66675</xdr:colOff>
      <xdr:row>33</xdr:row>
      <xdr:rowOff>176212</xdr:rowOff>
    </xdr:from>
    <xdr:to>
      <xdr:col>15</xdr:col>
      <xdr:colOff>371475</xdr:colOff>
      <xdr:row>48</xdr:row>
      <xdr:rowOff>61912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</xdr:colOff>
      <xdr:row>1</xdr:row>
      <xdr:rowOff>119062</xdr:rowOff>
    </xdr:from>
    <xdr:to>
      <xdr:col>27</xdr:col>
      <xdr:colOff>390525</xdr:colOff>
      <xdr:row>15</xdr:row>
      <xdr:rowOff>157162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0</xdr:row>
      <xdr:rowOff>90487</xdr:rowOff>
    </xdr:from>
    <xdr:to>
      <xdr:col>10</xdr:col>
      <xdr:colOff>514350</xdr:colOff>
      <xdr:row>14</xdr:row>
      <xdr:rowOff>166687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476250</xdr:colOff>
      <xdr:row>2</xdr:row>
      <xdr:rowOff>47625</xdr:rowOff>
    </xdr:from>
    <xdr:to>
      <xdr:col>20</xdr:col>
      <xdr:colOff>295275</xdr:colOff>
      <xdr:row>12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285750</xdr:colOff>
      <xdr:row>30</xdr:row>
      <xdr:rowOff>33337</xdr:rowOff>
    </xdr:from>
    <xdr:to>
      <xdr:col>21</xdr:col>
      <xdr:colOff>590550</xdr:colOff>
      <xdr:row>44</xdr:row>
      <xdr:rowOff>109537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466725</xdr:colOff>
      <xdr:row>13</xdr:row>
      <xdr:rowOff>61911</xdr:rowOff>
    </xdr:from>
    <xdr:to>
      <xdr:col>20</xdr:col>
      <xdr:colOff>265113</xdr:colOff>
      <xdr:row>27</xdr:row>
      <xdr:rowOff>180974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5</xdr:row>
      <xdr:rowOff>80962</xdr:rowOff>
    </xdr:from>
    <xdr:to>
      <xdr:col>21</xdr:col>
      <xdr:colOff>495300</xdr:colOff>
      <xdr:row>19</xdr:row>
      <xdr:rowOff>157162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476250</xdr:colOff>
      <xdr:row>38</xdr:row>
      <xdr:rowOff>4762</xdr:rowOff>
    </xdr:from>
    <xdr:to>
      <xdr:col>15</xdr:col>
      <xdr:colOff>419100</xdr:colOff>
      <xdr:row>52</xdr:row>
      <xdr:rowOff>80962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379412</xdr:colOff>
      <xdr:row>1</xdr:row>
      <xdr:rowOff>176212</xdr:rowOff>
    </xdr:from>
    <xdr:to>
      <xdr:col>9</xdr:col>
      <xdr:colOff>409575</xdr:colOff>
      <xdr:row>15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9525</xdr:colOff>
      <xdr:row>2</xdr:row>
      <xdr:rowOff>0</xdr:rowOff>
    </xdr:from>
    <xdr:to>
      <xdr:col>22</xdr:col>
      <xdr:colOff>9525</xdr:colOff>
      <xdr:row>12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600075</xdr:colOff>
      <xdr:row>13</xdr:row>
      <xdr:rowOff>190500</xdr:rowOff>
    </xdr:from>
    <xdr:to>
      <xdr:col>21</xdr:col>
      <xdr:colOff>600075</xdr:colOff>
      <xdr:row>23</xdr:row>
      <xdr:rowOff>180975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80961</xdr:colOff>
      <xdr:row>2</xdr:row>
      <xdr:rowOff>42862</xdr:rowOff>
    </xdr:from>
    <xdr:to>
      <xdr:col>9</xdr:col>
      <xdr:colOff>542924</xdr:colOff>
      <xdr:row>15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228600</xdr:colOff>
      <xdr:row>1</xdr:row>
      <xdr:rowOff>61912</xdr:rowOff>
    </xdr:from>
    <xdr:to>
      <xdr:col>18</xdr:col>
      <xdr:colOff>485775</xdr:colOff>
      <xdr:row>15</xdr:row>
      <xdr:rowOff>128587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1419225</xdr:colOff>
      <xdr:row>21</xdr:row>
      <xdr:rowOff>33337</xdr:rowOff>
    </xdr:from>
    <xdr:to>
      <xdr:col>18</xdr:col>
      <xdr:colOff>47625</xdr:colOff>
      <xdr:row>35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485775</xdr:colOff>
      <xdr:row>20</xdr:row>
      <xdr:rowOff>185737</xdr:rowOff>
    </xdr:from>
    <xdr:to>
      <xdr:col>26</xdr:col>
      <xdr:colOff>152400</xdr:colOff>
      <xdr:row>35</xdr:row>
      <xdr:rowOff>71437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21</xdr:row>
      <xdr:rowOff>33337</xdr:rowOff>
    </xdr:from>
    <xdr:to>
      <xdr:col>10</xdr:col>
      <xdr:colOff>790575</xdr:colOff>
      <xdr:row>35</xdr:row>
      <xdr:rowOff>109537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342900</xdr:colOff>
      <xdr:row>19</xdr:row>
      <xdr:rowOff>157162</xdr:rowOff>
    </xdr:from>
    <xdr:to>
      <xdr:col>24</xdr:col>
      <xdr:colOff>38100</xdr:colOff>
      <xdr:row>34</xdr:row>
      <xdr:rowOff>42862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971550</xdr:colOff>
      <xdr:row>20</xdr:row>
      <xdr:rowOff>128587</xdr:rowOff>
    </xdr:from>
    <xdr:to>
      <xdr:col>16</xdr:col>
      <xdr:colOff>28575</xdr:colOff>
      <xdr:row>35</xdr:row>
      <xdr:rowOff>14287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161925</xdr:colOff>
      <xdr:row>20</xdr:row>
      <xdr:rowOff>138112</xdr:rowOff>
    </xdr:from>
    <xdr:to>
      <xdr:col>10</xdr:col>
      <xdr:colOff>866775</xdr:colOff>
      <xdr:row>35</xdr:row>
      <xdr:rowOff>23812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466724</xdr:colOff>
      <xdr:row>5</xdr:row>
      <xdr:rowOff>90486</xdr:rowOff>
    </xdr:from>
    <xdr:to>
      <xdr:col>14</xdr:col>
      <xdr:colOff>514349</xdr:colOff>
      <xdr:row>20</xdr:row>
      <xdr:rowOff>187641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600074</xdr:colOff>
      <xdr:row>5</xdr:row>
      <xdr:rowOff>100011</xdr:rowOff>
    </xdr:from>
    <xdr:to>
      <xdr:col>30</xdr:col>
      <xdr:colOff>323849</xdr:colOff>
      <xdr:row>21</xdr:row>
      <xdr:rowOff>178116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4</xdr:row>
      <xdr:rowOff>0</xdr:rowOff>
    </xdr:from>
    <xdr:to>
      <xdr:col>1</xdr:col>
      <xdr:colOff>28575</xdr:colOff>
      <xdr:row>7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5725" y="762000"/>
          <a:ext cx="1028700" cy="5810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19050</xdr:colOff>
      <xdr:row>16</xdr:row>
      <xdr:rowOff>128587</xdr:rowOff>
    </xdr:from>
    <xdr:to>
      <xdr:col>13</xdr:col>
      <xdr:colOff>314325</xdr:colOff>
      <xdr:row>31</xdr:row>
      <xdr:rowOff>14287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9525</xdr:colOff>
      <xdr:row>0</xdr:row>
      <xdr:rowOff>176212</xdr:rowOff>
    </xdr:from>
    <xdr:to>
      <xdr:col>13</xdr:col>
      <xdr:colOff>304800</xdr:colOff>
      <xdr:row>15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171450</xdr:colOff>
      <xdr:row>2</xdr:row>
      <xdr:rowOff>14287</xdr:rowOff>
    </xdr:from>
    <xdr:to>
      <xdr:col>18</xdr:col>
      <xdr:colOff>476250</xdr:colOff>
      <xdr:row>16</xdr:row>
      <xdr:rowOff>90487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2</xdr:row>
      <xdr:rowOff>47625</xdr:rowOff>
    </xdr:from>
    <xdr:to>
      <xdr:col>10</xdr:col>
      <xdr:colOff>390525</xdr:colOff>
      <xdr:row>16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2</xdr:row>
      <xdr:rowOff>42862</xdr:rowOff>
    </xdr:from>
    <xdr:to>
      <xdr:col>14</xdr:col>
      <xdr:colOff>447675</xdr:colOff>
      <xdr:row>16</xdr:row>
      <xdr:rowOff>119062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323850</xdr:colOff>
      <xdr:row>30</xdr:row>
      <xdr:rowOff>4762</xdr:rowOff>
    </xdr:from>
    <xdr:to>
      <xdr:col>15</xdr:col>
      <xdr:colOff>19050</xdr:colOff>
      <xdr:row>44</xdr:row>
      <xdr:rowOff>80962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5</xdr:row>
      <xdr:rowOff>90487</xdr:rowOff>
    </xdr:from>
    <xdr:to>
      <xdr:col>14</xdr:col>
      <xdr:colOff>161925</xdr:colOff>
      <xdr:row>19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5</xdr:row>
      <xdr:rowOff>90487</xdr:rowOff>
    </xdr:from>
    <xdr:to>
      <xdr:col>14</xdr:col>
      <xdr:colOff>561975</xdr:colOff>
      <xdr:row>21</xdr:row>
      <xdr:rowOff>25717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</xdr:row>
      <xdr:rowOff>14287</xdr:rowOff>
    </xdr:from>
    <xdr:to>
      <xdr:col>13</xdr:col>
      <xdr:colOff>381000</xdr:colOff>
      <xdr:row>15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1</xdr:row>
      <xdr:rowOff>19050</xdr:rowOff>
    </xdr:from>
    <xdr:to>
      <xdr:col>11</xdr:col>
      <xdr:colOff>438150</xdr:colOff>
      <xdr:row>12</xdr:row>
      <xdr:rowOff>129540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514350</xdr:colOff>
      <xdr:row>1</xdr:row>
      <xdr:rowOff>19050</xdr:rowOff>
    </xdr:from>
    <xdr:to>
      <xdr:col>17</xdr:col>
      <xdr:colOff>571500</xdr:colOff>
      <xdr:row>12</xdr:row>
      <xdr:rowOff>152400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123825</xdr:colOff>
      <xdr:row>1</xdr:row>
      <xdr:rowOff>61912</xdr:rowOff>
    </xdr:from>
    <xdr:to>
      <xdr:col>27</xdr:col>
      <xdr:colOff>428625</xdr:colOff>
      <xdr:row>15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17</xdr:row>
      <xdr:rowOff>9525</xdr:rowOff>
    </xdr:from>
    <xdr:to>
      <xdr:col>9</xdr:col>
      <xdr:colOff>38100</xdr:colOff>
      <xdr:row>27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200025</xdr:colOff>
      <xdr:row>2</xdr:row>
      <xdr:rowOff>128587</xdr:rowOff>
    </xdr:from>
    <xdr:to>
      <xdr:col>26</xdr:col>
      <xdr:colOff>504825</xdr:colOff>
      <xdr:row>17</xdr:row>
      <xdr:rowOff>4762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180975</xdr:colOff>
      <xdr:row>20</xdr:row>
      <xdr:rowOff>61912</xdr:rowOff>
    </xdr:from>
    <xdr:to>
      <xdr:col>26</xdr:col>
      <xdr:colOff>485775</xdr:colOff>
      <xdr:row>34</xdr:row>
      <xdr:rowOff>128587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1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2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3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25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1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1"/>
  <dimension ref="A1:B19"/>
  <sheetViews>
    <sheetView tabSelected="1" zoomScaleNormal="100" workbookViewId="0"/>
  </sheetViews>
  <sheetFormatPr defaultRowHeight="15" x14ac:dyDescent="0.25"/>
  <cols>
    <col min="1" max="1" width="49.85546875" customWidth="1"/>
  </cols>
  <sheetData>
    <row r="1" spans="1:2" x14ac:dyDescent="0.25">
      <c r="A1" s="1" t="s">
        <v>1489</v>
      </c>
      <c r="B1" s="1"/>
    </row>
    <row r="2" spans="1:2" x14ac:dyDescent="0.25">
      <c r="A2" s="1" t="s">
        <v>1736</v>
      </c>
      <c r="B2" s="1"/>
    </row>
    <row r="3" spans="1:2" x14ac:dyDescent="0.25">
      <c r="A3" s="1"/>
      <c r="B3" s="1"/>
    </row>
    <row r="4" spans="1:2" x14ac:dyDescent="0.25">
      <c r="A4" s="237" t="s">
        <v>1639</v>
      </c>
    </row>
    <row r="6" spans="1:2" x14ac:dyDescent="0.25">
      <c r="A6" s="1" t="s">
        <v>573</v>
      </c>
    </row>
    <row r="8" spans="1:2" x14ac:dyDescent="0.25">
      <c r="A8" s="2" t="s">
        <v>572</v>
      </c>
    </row>
    <row r="9" spans="1:2" x14ac:dyDescent="0.25">
      <c r="A9" s="2" t="s">
        <v>990</v>
      </c>
    </row>
    <row r="10" spans="1:2" x14ac:dyDescent="0.25">
      <c r="A10" s="2" t="s">
        <v>574</v>
      </c>
    </row>
    <row r="11" spans="1:2" x14ac:dyDescent="0.25">
      <c r="A11" s="2" t="s">
        <v>94</v>
      </c>
    </row>
    <row r="12" spans="1:2" x14ac:dyDescent="0.25">
      <c r="A12" s="2" t="s">
        <v>601</v>
      </c>
    </row>
    <row r="13" spans="1:2" x14ac:dyDescent="0.25">
      <c r="A13" s="2" t="s">
        <v>604</v>
      </c>
    </row>
    <row r="14" spans="1:2" x14ac:dyDescent="0.25">
      <c r="A14" s="2" t="s">
        <v>608</v>
      </c>
    </row>
    <row r="15" spans="1:2" x14ac:dyDescent="0.25">
      <c r="A15" s="2" t="s">
        <v>629</v>
      </c>
    </row>
    <row r="16" spans="1:2" x14ac:dyDescent="0.25">
      <c r="A16" s="2" t="s">
        <v>630</v>
      </c>
    </row>
    <row r="17" spans="1:1" x14ac:dyDescent="0.25">
      <c r="A17" s="2" t="s">
        <v>631</v>
      </c>
    </row>
    <row r="18" spans="1:1" x14ac:dyDescent="0.25">
      <c r="A18" s="2" t="s">
        <v>1156</v>
      </c>
    </row>
    <row r="19" spans="1:1" x14ac:dyDescent="0.25">
      <c r="A19" s="2" t="s">
        <v>1157</v>
      </c>
    </row>
  </sheetData>
  <hyperlinks>
    <hyperlink ref="A8" location="TOC!A8" display="Excel Environment"/>
    <hyperlink ref="A10" location="TOC!A53" display="Probability Functions"/>
    <hyperlink ref="A11" location="TOC!A67" display="Descriptive Statistics"/>
    <hyperlink ref="A12" location="TOC!A139" display="Hypothesis Testing"/>
    <hyperlink ref="A13" location="TOC!A144" display="Normal Distribution"/>
    <hyperlink ref="A14" location="TOC!A158" display="Sampling Distributions"/>
    <hyperlink ref="A15" location="TOC!A203" display="Binomial and Related Distributions"/>
    <hyperlink ref="A16" location="TOC!A259" display="Other Key Distributions"/>
    <hyperlink ref="A17" location="TOC!A301" display="Student's t Distribution"/>
    <hyperlink ref="A18" location="TOC!A373" display="Chi-square Distribution"/>
    <hyperlink ref="A9" location="TOC!A32" display="Real Statistics Environment"/>
    <hyperlink ref="A19" location="TOC!A421" display="F Distribution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2" filterMode="1"/>
  <dimension ref="A1:P25"/>
  <sheetViews>
    <sheetView workbookViewId="0">
      <selection sqref="A1:P25"/>
    </sheetView>
  </sheetViews>
  <sheetFormatPr defaultRowHeight="15" x14ac:dyDescent="0.25"/>
  <cols>
    <col min="2" max="3" width="9.140625" style="308"/>
    <col min="7" max="8" width="9.140625" style="308"/>
  </cols>
  <sheetData>
    <row r="1" spans="1:16" x14ac:dyDescent="0.25">
      <c r="A1" s="1" t="s">
        <v>797</v>
      </c>
      <c r="F1" t="s">
        <v>800</v>
      </c>
      <c r="K1" t="s">
        <v>808</v>
      </c>
      <c r="L1" s="308"/>
      <c r="M1" s="308"/>
      <c r="P1" t="s">
        <v>801</v>
      </c>
    </row>
    <row r="2" spans="1:16" x14ac:dyDescent="0.25">
      <c r="L2" s="308"/>
      <c r="M2" s="308"/>
    </row>
    <row r="3" spans="1:16" s="305" customFormat="1" x14ac:dyDescent="0.25">
      <c r="A3" s="304" t="s">
        <v>222</v>
      </c>
      <c r="B3" s="307" t="s">
        <v>385</v>
      </c>
      <c r="C3" s="307" t="s">
        <v>22</v>
      </c>
      <c r="D3" s="304" t="s">
        <v>23</v>
      </c>
      <c r="F3" s="307" t="s">
        <v>222</v>
      </c>
      <c r="G3" s="307" t="s">
        <v>385</v>
      </c>
      <c r="H3" s="307" t="s">
        <v>22</v>
      </c>
      <c r="I3" s="307" t="s">
        <v>23</v>
      </c>
      <c r="J3" s="309"/>
      <c r="K3" s="307" t="s">
        <v>222</v>
      </c>
      <c r="L3" s="307" t="s">
        <v>385</v>
      </c>
      <c r="M3" s="307" t="s">
        <v>22</v>
      </c>
      <c r="N3" s="307" t="s">
        <v>23</v>
      </c>
      <c r="P3" s="307" t="s">
        <v>23</v>
      </c>
    </row>
    <row r="4" spans="1:16" x14ac:dyDescent="0.25">
      <c r="A4" t="s">
        <v>538</v>
      </c>
      <c r="B4" s="308" t="s">
        <v>310</v>
      </c>
      <c r="C4" s="308">
        <v>35</v>
      </c>
      <c r="D4">
        <v>45000</v>
      </c>
      <c r="F4" s="8" t="s">
        <v>541</v>
      </c>
      <c r="G4" s="309" t="s">
        <v>310</v>
      </c>
      <c r="H4" s="309">
        <v>45</v>
      </c>
      <c r="I4" s="8">
        <v>30000</v>
      </c>
      <c r="K4" s="8" t="s">
        <v>541</v>
      </c>
      <c r="L4" s="309" t="s">
        <v>310</v>
      </c>
      <c r="M4" s="309">
        <v>45</v>
      </c>
      <c r="N4" s="8">
        <v>30000</v>
      </c>
      <c r="P4">
        <v>45000</v>
      </c>
    </row>
    <row r="5" spans="1:16" x14ac:dyDescent="0.25">
      <c r="A5" t="s">
        <v>540</v>
      </c>
      <c r="B5" s="308" t="s">
        <v>429</v>
      </c>
      <c r="C5" s="308">
        <v>40</v>
      </c>
      <c r="D5">
        <v>40000</v>
      </c>
      <c r="F5" t="s">
        <v>537</v>
      </c>
      <c r="G5" s="308" t="s">
        <v>429</v>
      </c>
      <c r="H5" s="308">
        <v>55</v>
      </c>
      <c r="I5">
        <v>35000</v>
      </c>
      <c r="K5" t="s">
        <v>806</v>
      </c>
      <c r="L5" s="308" t="s">
        <v>429</v>
      </c>
      <c r="M5" s="308">
        <v>40</v>
      </c>
      <c r="N5">
        <v>35000</v>
      </c>
      <c r="P5">
        <v>40000</v>
      </c>
    </row>
    <row r="6" spans="1:16" x14ac:dyDescent="0.25">
      <c r="A6" t="s">
        <v>537</v>
      </c>
      <c r="B6" s="308" t="s">
        <v>429</v>
      </c>
      <c r="C6" s="308">
        <v>55</v>
      </c>
      <c r="D6">
        <v>35000</v>
      </c>
      <c r="F6" t="s">
        <v>806</v>
      </c>
      <c r="G6" s="308" t="s">
        <v>429</v>
      </c>
      <c r="H6" s="308">
        <v>40</v>
      </c>
      <c r="I6">
        <v>35000</v>
      </c>
      <c r="K6" t="s">
        <v>537</v>
      </c>
      <c r="L6" s="308" t="s">
        <v>429</v>
      </c>
      <c r="M6" s="308">
        <v>55</v>
      </c>
      <c r="N6">
        <v>35000</v>
      </c>
      <c r="P6">
        <v>35000</v>
      </c>
    </row>
    <row r="7" spans="1:16" x14ac:dyDescent="0.25">
      <c r="A7" s="8" t="s">
        <v>798</v>
      </c>
      <c r="B7" s="309" t="s">
        <v>310</v>
      </c>
      <c r="C7" s="309">
        <v>25</v>
      </c>
      <c r="D7" s="8">
        <v>80000</v>
      </c>
      <c r="F7" s="8" t="s">
        <v>799</v>
      </c>
      <c r="G7" s="309" t="s">
        <v>429</v>
      </c>
      <c r="H7" s="309">
        <v>30</v>
      </c>
      <c r="I7" s="8">
        <v>35000</v>
      </c>
      <c r="J7" s="8"/>
      <c r="K7" s="8" t="s">
        <v>799</v>
      </c>
      <c r="L7" s="309" t="s">
        <v>429</v>
      </c>
      <c r="M7" s="309">
        <v>30</v>
      </c>
      <c r="N7" s="8">
        <v>35000</v>
      </c>
      <c r="P7" s="8">
        <v>80000</v>
      </c>
    </row>
    <row r="8" spans="1:16" x14ac:dyDescent="0.25">
      <c r="A8" t="s">
        <v>806</v>
      </c>
      <c r="B8" s="308" t="s">
        <v>429</v>
      </c>
      <c r="C8" s="308">
        <v>40</v>
      </c>
      <c r="D8">
        <v>35000</v>
      </c>
      <c r="F8" t="s">
        <v>540</v>
      </c>
      <c r="G8" s="308" t="s">
        <v>429</v>
      </c>
      <c r="H8" s="308">
        <v>40</v>
      </c>
      <c r="I8">
        <v>40000</v>
      </c>
      <c r="K8" t="s">
        <v>540</v>
      </c>
      <c r="L8" s="308" t="s">
        <v>429</v>
      </c>
      <c r="M8" s="308">
        <v>40</v>
      </c>
      <c r="N8">
        <v>40000</v>
      </c>
      <c r="P8">
        <v>60000</v>
      </c>
    </row>
    <row r="9" spans="1:16" x14ac:dyDescent="0.25">
      <c r="A9" t="s">
        <v>807</v>
      </c>
      <c r="B9" s="308" t="s">
        <v>310</v>
      </c>
      <c r="C9" s="308">
        <v>40</v>
      </c>
      <c r="D9">
        <v>45000</v>
      </c>
      <c r="F9" t="s">
        <v>538</v>
      </c>
      <c r="G9" s="308" t="s">
        <v>310</v>
      </c>
      <c r="H9" s="308">
        <v>35</v>
      </c>
      <c r="I9">
        <v>45000</v>
      </c>
      <c r="K9" t="s">
        <v>807</v>
      </c>
      <c r="L9" s="308" t="s">
        <v>310</v>
      </c>
      <c r="M9" s="308">
        <v>40</v>
      </c>
      <c r="N9">
        <v>45000</v>
      </c>
      <c r="P9" s="8">
        <v>30000</v>
      </c>
    </row>
    <row r="10" spans="1:16" x14ac:dyDescent="0.25">
      <c r="A10" t="s">
        <v>539</v>
      </c>
      <c r="B10" s="308" t="s">
        <v>429</v>
      </c>
      <c r="C10" s="308">
        <v>60</v>
      </c>
      <c r="D10">
        <v>60000</v>
      </c>
      <c r="F10" t="s">
        <v>807</v>
      </c>
      <c r="G10" s="308" t="s">
        <v>310</v>
      </c>
      <c r="H10" s="308">
        <v>40</v>
      </c>
      <c r="I10">
        <v>45000</v>
      </c>
      <c r="K10" t="s">
        <v>538</v>
      </c>
      <c r="L10" s="308" t="s">
        <v>310</v>
      </c>
      <c r="M10" s="308">
        <v>35</v>
      </c>
      <c r="N10">
        <v>45000</v>
      </c>
    </row>
    <row r="11" spans="1:16" x14ac:dyDescent="0.25">
      <c r="A11" s="8" t="s">
        <v>799</v>
      </c>
      <c r="B11" s="309" t="s">
        <v>429</v>
      </c>
      <c r="C11" s="309">
        <v>30</v>
      </c>
      <c r="D11" s="8">
        <v>35000</v>
      </c>
      <c r="F11" t="s">
        <v>539</v>
      </c>
      <c r="G11" s="308" t="s">
        <v>429</v>
      </c>
      <c r="H11" s="308">
        <v>60</v>
      </c>
      <c r="I11">
        <v>60000</v>
      </c>
      <c r="J11" s="8"/>
      <c r="K11" t="s">
        <v>539</v>
      </c>
      <c r="L11" s="308" t="s">
        <v>429</v>
      </c>
      <c r="M11" s="308">
        <v>60</v>
      </c>
      <c r="N11">
        <v>60000</v>
      </c>
    </row>
    <row r="12" spans="1:16" x14ac:dyDescent="0.25">
      <c r="A12" s="276" t="s">
        <v>541</v>
      </c>
      <c r="B12" s="306" t="s">
        <v>310</v>
      </c>
      <c r="C12" s="306">
        <v>45</v>
      </c>
      <c r="D12" s="276">
        <v>30000</v>
      </c>
      <c r="F12" s="276" t="s">
        <v>798</v>
      </c>
      <c r="G12" s="306" t="s">
        <v>310</v>
      </c>
      <c r="H12" s="306">
        <v>25</v>
      </c>
      <c r="I12" s="276">
        <v>80000</v>
      </c>
      <c r="J12" s="8"/>
      <c r="K12" s="276" t="s">
        <v>798</v>
      </c>
      <c r="L12" s="306" t="s">
        <v>310</v>
      </c>
      <c r="M12" s="306">
        <v>25</v>
      </c>
      <c r="N12" s="276">
        <v>80000</v>
      </c>
    </row>
    <row r="14" spans="1:16" x14ac:dyDescent="0.25">
      <c r="A14" t="s">
        <v>802</v>
      </c>
    </row>
    <row r="16" spans="1:16" x14ac:dyDescent="0.25">
      <c r="A16" s="307" t="s">
        <v>222</v>
      </c>
      <c r="B16" s="307" t="s">
        <v>385</v>
      </c>
      <c r="C16" s="307" t="s">
        <v>22</v>
      </c>
      <c r="D16" s="307" t="s">
        <v>23</v>
      </c>
      <c r="F16" s="225" t="str">
        <f t="shared" ref="F16:I19" si="0">A16</f>
        <v>Person</v>
      </c>
      <c r="G16" s="225" t="str">
        <f t="shared" si="0"/>
        <v>Gender</v>
      </c>
      <c r="H16" s="225" t="str">
        <f t="shared" si="0"/>
        <v>Age</v>
      </c>
      <c r="I16" s="225" t="str">
        <f t="shared" si="0"/>
        <v>Income</v>
      </c>
    </row>
    <row r="17" spans="1:9" x14ac:dyDescent="0.25">
      <c r="A17" t="s">
        <v>538</v>
      </c>
      <c r="B17" s="308" t="s">
        <v>310</v>
      </c>
      <c r="C17" s="308">
        <v>35</v>
      </c>
      <c r="D17">
        <v>45000</v>
      </c>
      <c r="F17" t="str">
        <f t="shared" si="0"/>
        <v>Mary</v>
      </c>
      <c r="G17" t="str">
        <f t="shared" si="0"/>
        <v>F</v>
      </c>
      <c r="H17">
        <f t="shared" si="0"/>
        <v>35</v>
      </c>
      <c r="I17">
        <f t="shared" si="0"/>
        <v>45000</v>
      </c>
    </row>
    <row r="18" spans="1:9" x14ac:dyDescent="0.25">
      <c r="A18" t="s">
        <v>540</v>
      </c>
      <c r="B18" s="308" t="s">
        <v>429</v>
      </c>
      <c r="C18" s="308">
        <v>40</v>
      </c>
      <c r="D18">
        <v>40000</v>
      </c>
      <c r="F18" t="str">
        <f t="shared" si="0"/>
        <v>Bob</v>
      </c>
      <c r="G18" t="str">
        <f t="shared" si="0"/>
        <v>M</v>
      </c>
      <c r="H18">
        <f t="shared" si="0"/>
        <v>40</v>
      </c>
      <c r="I18">
        <f t="shared" si="0"/>
        <v>40000</v>
      </c>
    </row>
    <row r="19" spans="1:9" x14ac:dyDescent="0.25">
      <c r="A19" t="s">
        <v>537</v>
      </c>
      <c r="B19" s="308" t="s">
        <v>429</v>
      </c>
      <c r="C19" s="308">
        <v>55</v>
      </c>
      <c r="D19">
        <v>35000</v>
      </c>
      <c r="F19" t="str">
        <f t="shared" si="0"/>
        <v>Jim</v>
      </c>
      <c r="G19" t="str">
        <f t="shared" si="0"/>
        <v>M</v>
      </c>
      <c r="H19">
        <f t="shared" si="0"/>
        <v>55</v>
      </c>
      <c r="I19">
        <f t="shared" si="0"/>
        <v>35000</v>
      </c>
    </row>
    <row r="20" spans="1:9" hidden="1" x14ac:dyDescent="0.25">
      <c r="A20" s="8" t="s">
        <v>798</v>
      </c>
      <c r="B20" s="309" t="s">
        <v>310</v>
      </c>
      <c r="C20" s="309">
        <v>25</v>
      </c>
      <c r="D20" s="8">
        <v>80000</v>
      </c>
    </row>
    <row r="21" spans="1:9" x14ac:dyDescent="0.25">
      <c r="A21" t="s">
        <v>806</v>
      </c>
      <c r="B21" s="308" t="s">
        <v>429</v>
      </c>
      <c r="C21" s="308">
        <v>40</v>
      </c>
      <c r="D21">
        <v>35000</v>
      </c>
      <c r="F21" t="str">
        <f t="shared" ref="F21:I22" si="1">A21</f>
        <v>Alan</v>
      </c>
      <c r="G21" t="str">
        <f t="shared" si="1"/>
        <v>M</v>
      </c>
      <c r="H21">
        <f t="shared" si="1"/>
        <v>40</v>
      </c>
      <c r="I21">
        <f t="shared" si="1"/>
        <v>35000</v>
      </c>
    </row>
    <row r="22" spans="1:9" x14ac:dyDescent="0.25">
      <c r="A22" t="s">
        <v>807</v>
      </c>
      <c r="B22" s="308" t="s">
        <v>310</v>
      </c>
      <c r="C22" s="308">
        <v>40</v>
      </c>
      <c r="D22">
        <v>45000</v>
      </c>
      <c r="F22" t="str">
        <f t="shared" si="1"/>
        <v>Debra</v>
      </c>
      <c r="G22" t="str">
        <f t="shared" si="1"/>
        <v>F</v>
      </c>
      <c r="H22">
        <f t="shared" si="1"/>
        <v>40</v>
      </c>
      <c r="I22">
        <f t="shared" si="1"/>
        <v>45000</v>
      </c>
    </row>
    <row r="23" spans="1:9" hidden="1" x14ac:dyDescent="0.25">
      <c r="A23" t="s">
        <v>539</v>
      </c>
      <c r="B23" s="308" t="s">
        <v>429</v>
      </c>
      <c r="C23" s="308">
        <v>60</v>
      </c>
      <c r="D23">
        <v>60000</v>
      </c>
    </row>
    <row r="24" spans="1:9" x14ac:dyDescent="0.25">
      <c r="A24" s="8" t="s">
        <v>799</v>
      </c>
      <c r="B24" s="309" t="s">
        <v>429</v>
      </c>
      <c r="C24" s="309">
        <v>30</v>
      </c>
      <c r="D24" s="8">
        <v>35000</v>
      </c>
      <c r="F24" s="276" t="str">
        <f>A24</f>
        <v>Steve</v>
      </c>
      <c r="G24" s="276" t="str">
        <f>B24</f>
        <v>M</v>
      </c>
      <c r="H24" s="276">
        <f>C24</f>
        <v>30</v>
      </c>
      <c r="I24" s="276">
        <f>D24</f>
        <v>35000</v>
      </c>
    </row>
    <row r="25" spans="1:9" hidden="1" x14ac:dyDescent="0.25">
      <c r="A25" s="276" t="s">
        <v>541</v>
      </c>
      <c r="B25" s="306" t="s">
        <v>310</v>
      </c>
      <c r="C25" s="306">
        <v>45</v>
      </c>
      <c r="D25" s="276">
        <v>30000</v>
      </c>
    </row>
  </sheetData>
  <autoFilter ref="A16:D25">
    <filterColumn colId="3">
      <customFilters and="1">
        <customFilter operator="greaterThanOrEqual" val="35000"/>
        <customFilter operator="lessThanOrEqual" val="45000"/>
      </customFilters>
    </filterColumn>
  </autoFilter>
  <sortState ref="F4:I12">
    <sortCondition ref="I4:I12"/>
  </sortState>
  <pageMargins left="0.7" right="0.7" top="0.75" bottom="0.75" header="0.3" footer="0.3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7"/>
  <dimension ref="A1:P14"/>
  <sheetViews>
    <sheetView workbookViewId="0">
      <selection activeCell="P3" sqref="P3"/>
    </sheetView>
  </sheetViews>
  <sheetFormatPr defaultRowHeight="15" x14ac:dyDescent="0.25"/>
  <cols>
    <col min="2" max="2" width="13.7109375" customWidth="1"/>
  </cols>
  <sheetData>
    <row r="1" spans="1:16" x14ac:dyDescent="0.25">
      <c r="A1" s="1" t="s">
        <v>1495</v>
      </c>
    </row>
    <row r="3" spans="1:16" x14ac:dyDescent="0.25">
      <c r="A3" s="491" t="s">
        <v>258</v>
      </c>
      <c r="B3" s="492" t="s">
        <v>1427</v>
      </c>
      <c r="D3" t="s">
        <v>63</v>
      </c>
      <c r="E3" s="513">
        <f>AVERAGE(B4:B13)</f>
        <v>47.3</v>
      </c>
      <c r="G3" s="492" t="s">
        <v>70</v>
      </c>
      <c r="H3" s="492" t="s">
        <v>28</v>
      </c>
      <c r="I3" s="492" t="s">
        <v>30</v>
      </c>
      <c r="J3" s="514" t="s">
        <v>322</v>
      </c>
      <c r="K3" s="514" t="s">
        <v>1428</v>
      </c>
      <c r="L3" s="514" t="s">
        <v>1429</v>
      </c>
      <c r="M3" s="514" t="s">
        <v>1430</v>
      </c>
      <c r="O3" s="111" t="s">
        <v>943</v>
      </c>
      <c r="P3" s="205">
        <f>E4</f>
        <v>2.1141649048625793E-2</v>
      </c>
    </row>
    <row r="4" spans="1:16" x14ac:dyDescent="0.25">
      <c r="A4" s="510">
        <v>1</v>
      </c>
      <c r="B4" s="515">
        <v>73</v>
      </c>
      <c r="D4" t="s">
        <v>943</v>
      </c>
      <c r="E4" s="155">
        <f>1/E3</f>
        <v>2.1141649048625793E-2</v>
      </c>
      <c r="G4" s="510">
        <v>1</v>
      </c>
      <c r="H4" s="510">
        <f>(G4-0.5)/G$13</f>
        <v>0.05</v>
      </c>
      <c r="I4" s="515" t="e">
        <f t="array" aca="1" ref="I4:I13" ca="1">QSORT(B4:B13)</f>
        <v>#NAME?</v>
      </c>
      <c r="J4">
        <f t="shared" ref="J4:J13" si="0">LN(LN(1/(1-H4)))</f>
        <v>-2.9701952490421655</v>
      </c>
      <c r="K4" t="e">
        <f t="shared" ref="K4:K13" ca="1" si="1">LN(I4)</f>
        <v>#NAME?</v>
      </c>
      <c r="L4">
        <f>1-EXP(-H4*P$3)</f>
        <v>1.0565239375917024E-3</v>
      </c>
      <c r="M4">
        <f>J4-L4</f>
        <v>-2.9712517729797572</v>
      </c>
    </row>
    <row r="5" spans="1:16" x14ac:dyDescent="0.25">
      <c r="A5" s="510">
        <f>A4+1</f>
        <v>2</v>
      </c>
      <c r="B5" s="515">
        <v>18</v>
      </c>
      <c r="G5" s="510">
        <f>G4+1</f>
        <v>2</v>
      </c>
      <c r="H5" s="510">
        <f t="shared" ref="H5:H13" si="2">(G5-0.5)/G$13</f>
        <v>0.15</v>
      </c>
      <c r="I5" s="515" t="e">
        <f ca="1"/>
        <v>#NAME?</v>
      </c>
      <c r="J5">
        <f t="shared" si="0"/>
        <v>-1.8169607947796103</v>
      </c>
      <c r="K5" t="e">
        <f t="shared" ca="1" si="1"/>
        <v>#NAME?</v>
      </c>
      <c r="L5">
        <f t="shared" ref="L5:L13" si="3">1-EXP(-H5*P$3)</f>
        <v>3.1662242636204541E-3</v>
      </c>
      <c r="M5">
        <f t="shared" ref="M5:M13" si="4">J5-L5</f>
        <v>-1.8201270190432308</v>
      </c>
    </row>
    <row r="6" spans="1:16" x14ac:dyDescent="0.25">
      <c r="A6" s="510">
        <f t="shared" ref="A6:A13" si="5">A5+1</f>
        <v>3</v>
      </c>
      <c r="B6" s="515">
        <v>20</v>
      </c>
      <c r="G6" s="510">
        <f t="shared" ref="G6:G13" si="6">G5+1</f>
        <v>3</v>
      </c>
      <c r="H6" s="510">
        <f t="shared" si="2"/>
        <v>0.25</v>
      </c>
      <c r="I6" s="515" t="e">
        <f ca="1"/>
        <v>#NAME?</v>
      </c>
      <c r="J6">
        <f t="shared" si="0"/>
        <v>-1.2458993237072384</v>
      </c>
      <c r="K6" t="e">
        <f t="shared" ca="1" si="1"/>
        <v>#NAME?</v>
      </c>
      <c r="L6">
        <f t="shared" si="3"/>
        <v>5.2714690467957626E-3</v>
      </c>
      <c r="M6">
        <f t="shared" si="4"/>
        <v>-1.2511707927540341</v>
      </c>
    </row>
    <row r="7" spans="1:16" x14ac:dyDescent="0.25">
      <c r="A7" s="510">
        <f t="shared" si="5"/>
        <v>4</v>
      </c>
      <c r="B7" s="515">
        <v>60</v>
      </c>
      <c r="G7" s="510">
        <f t="shared" si="6"/>
        <v>4</v>
      </c>
      <c r="H7" s="510">
        <f t="shared" si="2"/>
        <v>0.35</v>
      </c>
      <c r="I7" s="515" t="e">
        <f ca="1"/>
        <v>#NAME?</v>
      </c>
      <c r="J7">
        <f t="shared" si="0"/>
        <v>-0.84215099072473298</v>
      </c>
      <c r="K7" t="e">
        <f t="shared" ca="1" si="1"/>
        <v>#NAME?</v>
      </c>
      <c r="L7">
        <f t="shared" si="3"/>
        <v>7.3722676969196765E-3</v>
      </c>
      <c r="M7">
        <f t="shared" si="4"/>
        <v>-0.84952325842165266</v>
      </c>
    </row>
    <row r="8" spans="1:16" x14ac:dyDescent="0.25">
      <c r="A8" s="510">
        <f t="shared" si="5"/>
        <v>5</v>
      </c>
      <c r="B8" s="515">
        <v>99</v>
      </c>
      <c r="G8" s="510">
        <f t="shared" si="6"/>
        <v>5</v>
      </c>
      <c r="H8" s="510">
        <f t="shared" si="2"/>
        <v>0.45</v>
      </c>
      <c r="I8" s="515" t="e">
        <f ca="1"/>
        <v>#NAME?</v>
      </c>
      <c r="J8">
        <f t="shared" si="0"/>
        <v>-0.51443713617380327</v>
      </c>
      <c r="K8" t="e">
        <f t="shared" ca="1" si="1"/>
        <v>#NAME?</v>
      </c>
      <c r="L8">
        <f t="shared" si="3"/>
        <v>9.4686296039211415E-3</v>
      </c>
      <c r="M8">
        <f t="shared" si="4"/>
        <v>-0.52390576577772441</v>
      </c>
    </row>
    <row r="9" spans="1:16" x14ac:dyDescent="0.25">
      <c r="A9" s="510">
        <f t="shared" si="5"/>
        <v>6</v>
      </c>
      <c r="B9" s="515">
        <v>81</v>
      </c>
      <c r="G9" s="510">
        <f t="shared" si="6"/>
        <v>6</v>
      </c>
      <c r="H9" s="510">
        <f t="shared" si="2"/>
        <v>0.55000000000000004</v>
      </c>
      <c r="I9" s="515" t="e">
        <f ca="1"/>
        <v>#NAME?</v>
      </c>
      <c r="J9">
        <f t="shared" si="0"/>
        <v>-0.22501067302940872</v>
      </c>
      <c r="K9" t="e">
        <f t="shared" ca="1" si="1"/>
        <v>#NAME?</v>
      </c>
      <c r="L9">
        <f t="shared" si="3"/>
        <v>1.156056413789841E-2</v>
      </c>
      <c r="M9">
        <f t="shared" si="4"/>
        <v>-0.23657123716730713</v>
      </c>
    </row>
    <row r="10" spans="1:16" x14ac:dyDescent="0.25">
      <c r="A10" s="510">
        <f t="shared" si="5"/>
        <v>7</v>
      </c>
      <c r="B10" s="515">
        <v>40</v>
      </c>
      <c r="G10" s="510">
        <f t="shared" si="6"/>
        <v>7</v>
      </c>
      <c r="H10" s="510">
        <f t="shared" si="2"/>
        <v>0.65</v>
      </c>
      <c r="I10" s="515" t="e">
        <f ca="1"/>
        <v>#NAME?</v>
      </c>
      <c r="J10">
        <f t="shared" si="0"/>
        <v>4.8620744579389051E-2</v>
      </c>
      <c r="K10" t="e">
        <f t="shared" ca="1" si="1"/>
        <v>#NAME?</v>
      </c>
      <c r="L10">
        <f t="shared" si="3"/>
        <v>1.3648080649160566E-2</v>
      </c>
      <c r="M10">
        <f t="shared" si="4"/>
        <v>3.4972663930228486E-2</v>
      </c>
    </row>
    <row r="11" spans="1:16" x14ac:dyDescent="0.25">
      <c r="A11" s="510">
        <f t="shared" si="5"/>
        <v>8</v>
      </c>
      <c r="B11" s="515">
        <v>33</v>
      </c>
      <c r="G11" s="510">
        <f t="shared" si="6"/>
        <v>8</v>
      </c>
      <c r="H11" s="510">
        <f t="shared" si="2"/>
        <v>0.75</v>
      </c>
      <c r="I11" s="515" t="e">
        <f ca="1"/>
        <v>#NAME?</v>
      </c>
      <c r="J11">
        <f t="shared" si="0"/>
        <v>0.32663425997828094</v>
      </c>
      <c r="K11" t="e">
        <f t="shared" ca="1" si="1"/>
        <v>#NAME?</v>
      </c>
      <c r="L11">
        <f t="shared" si="3"/>
        <v>1.5731188468269486E-2</v>
      </c>
      <c r="M11">
        <f t="shared" si="4"/>
        <v>0.31090307151001145</v>
      </c>
    </row>
    <row r="12" spans="1:16" x14ac:dyDescent="0.25">
      <c r="A12" s="510">
        <f t="shared" si="5"/>
        <v>9</v>
      </c>
      <c r="B12" s="515">
        <v>27</v>
      </c>
      <c r="G12" s="511">
        <f t="shared" si="6"/>
        <v>9</v>
      </c>
      <c r="H12" s="510">
        <f t="shared" si="2"/>
        <v>0.85</v>
      </c>
      <c r="I12" s="515" t="e">
        <f ca="1"/>
        <v>#NAME?</v>
      </c>
      <c r="J12" s="8">
        <f t="shared" si="0"/>
        <v>0.64033693876074793</v>
      </c>
      <c r="K12" s="8" t="e">
        <f t="shared" ca="1" si="1"/>
        <v>#NAME?</v>
      </c>
      <c r="L12">
        <f t="shared" si="3"/>
        <v>1.780989690608159E-2</v>
      </c>
      <c r="M12" s="8">
        <f t="shared" si="4"/>
        <v>0.62252704185466634</v>
      </c>
    </row>
    <row r="13" spans="1:16" x14ac:dyDescent="0.25">
      <c r="A13" s="512">
        <f t="shared" si="5"/>
        <v>10</v>
      </c>
      <c r="B13" s="516">
        <v>22</v>
      </c>
      <c r="G13" s="512">
        <f t="shared" si="6"/>
        <v>10</v>
      </c>
      <c r="H13" s="512">
        <f t="shared" si="2"/>
        <v>0.95</v>
      </c>
      <c r="I13" s="512" t="e">
        <f ca="1"/>
        <v>#NAME?</v>
      </c>
      <c r="J13" s="276">
        <f t="shared" si="0"/>
        <v>1.0971887003649483</v>
      </c>
      <c r="K13" s="276" t="e">
        <f t="shared" ca="1" si="1"/>
        <v>#NAME?</v>
      </c>
      <c r="L13" s="276">
        <f t="shared" si="3"/>
        <v>1.9884215253789472E-2</v>
      </c>
      <c r="M13" s="276">
        <f t="shared" si="4"/>
        <v>1.0773044851111588</v>
      </c>
    </row>
    <row r="14" spans="1:16" x14ac:dyDescent="0.25">
      <c r="M14" s="54">
        <f>SUMSQ(M4:M13)</f>
        <v>16.404769463374336</v>
      </c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/>
  <dimension ref="A1:H15"/>
  <sheetViews>
    <sheetView workbookViewId="0"/>
  </sheetViews>
  <sheetFormatPr defaultRowHeight="15" x14ac:dyDescent="0.25"/>
  <cols>
    <col min="2" max="2" width="13.7109375" customWidth="1"/>
    <col min="3" max="3" width="6.7109375" customWidth="1"/>
    <col min="5" max="5" width="9.5703125" customWidth="1"/>
    <col min="6" max="6" width="5.28515625" customWidth="1"/>
  </cols>
  <sheetData>
    <row r="1" spans="1:8" x14ac:dyDescent="0.25">
      <c r="A1" s="1" t="s">
        <v>1494</v>
      </c>
    </row>
    <row r="3" spans="1:8" x14ac:dyDescent="0.25">
      <c r="A3" s="491" t="s">
        <v>258</v>
      </c>
      <c r="B3" s="491" t="s">
        <v>1431</v>
      </c>
      <c r="D3" t="s">
        <v>63</v>
      </c>
      <c r="E3" s="517">
        <f>AVERAGE(B4:B15)</f>
        <v>624.25</v>
      </c>
      <c r="G3" t="s">
        <v>262</v>
      </c>
      <c r="H3" s="486">
        <f>E3/EXP(GAMMALN(1+1/H4))</f>
        <v>691.02632325032323</v>
      </c>
    </row>
    <row r="4" spans="1:8" x14ac:dyDescent="0.25">
      <c r="A4" s="510">
        <v>1</v>
      </c>
      <c r="B4" s="515">
        <v>509</v>
      </c>
      <c r="D4" t="s">
        <v>66</v>
      </c>
      <c r="E4" s="155">
        <f>STDEV(B4:B15)</f>
        <v>183.79095090989557</v>
      </c>
      <c r="G4" t="s">
        <v>398</v>
      </c>
      <c r="H4" s="155">
        <v>3.7683356459693478</v>
      </c>
    </row>
    <row r="5" spans="1:8" x14ac:dyDescent="0.25">
      <c r="A5" s="510">
        <f>A4+1</f>
        <v>2</v>
      </c>
      <c r="B5" s="515">
        <v>660</v>
      </c>
    </row>
    <row r="6" spans="1:8" x14ac:dyDescent="0.25">
      <c r="A6" s="510">
        <f t="shared" ref="A6:A15" si="0">A5+1</f>
        <v>3</v>
      </c>
      <c r="B6" s="515">
        <v>386</v>
      </c>
      <c r="D6" t="s">
        <v>1472</v>
      </c>
      <c r="E6" s="205">
        <f>GAMMALN(1+2/H4)-2*GAMMALN(1+1/H4)-LN(E3^2+E4^2)+2*LN(E3)</f>
        <v>9.016127942889085E-4</v>
      </c>
    </row>
    <row r="7" spans="1:8" x14ac:dyDescent="0.25">
      <c r="A7" s="510">
        <f t="shared" si="0"/>
        <v>4</v>
      </c>
      <c r="B7" s="515">
        <v>753</v>
      </c>
    </row>
    <row r="8" spans="1:8" x14ac:dyDescent="0.25">
      <c r="A8" s="510">
        <f t="shared" si="0"/>
        <v>5</v>
      </c>
      <c r="B8" s="515">
        <v>811</v>
      </c>
    </row>
    <row r="9" spans="1:8" x14ac:dyDescent="0.25">
      <c r="A9" s="510">
        <f t="shared" si="0"/>
        <v>6</v>
      </c>
      <c r="B9" s="515">
        <v>613</v>
      </c>
    </row>
    <row r="10" spans="1:8" x14ac:dyDescent="0.25">
      <c r="A10" s="510">
        <f t="shared" si="0"/>
        <v>7</v>
      </c>
      <c r="B10" s="515">
        <v>848</v>
      </c>
    </row>
    <row r="11" spans="1:8" x14ac:dyDescent="0.25">
      <c r="A11" s="510">
        <f t="shared" si="0"/>
        <v>8</v>
      </c>
      <c r="B11" s="515">
        <v>725</v>
      </c>
    </row>
    <row r="12" spans="1:8" x14ac:dyDescent="0.25">
      <c r="A12" s="510">
        <f t="shared" si="0"/>
        <v>9</v>
      </c>
      <c r="B12" s="515">
        <v>315</v>
      </c>
    </row>
    <row r="13" spans="1:8" x14ac:dyDescent="0.25">
      <c r="A13" s="510">
        <f t="shared" si="0"/>
        <v>10</v>
      </c>
      <c r="B13" s="515">
        <v>872</v>
      </c>
    </row>
    <row r="14" spans="1:8" x14ac:dyDescent="0.25">
      <c r="A14" s="510">
        <f t="shared" si="0"/>
        <v>11</v>
      </c>
      <c r="B14" s="515">
        <v>487</v>
      </c>
    </row>
    <row r="15" spans="1:8" x14ac:dyDescent="0.25">
      <c r="A15" s="512">
        <f t="shared" si="0"/>
        <v>12</v>
      </c>
      <c r="B15" s="516">
        <v>512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L16"/>
  <sheetViews>
    <sheetView workbookViewId="0"/>
  </sheetViews>
  <sheetFormatPr defaultRowHeight="15" x14ac:dyDescent="0.25"/>
  <cols>
    <col min="1" max="1" width="8" style="118" customWidth="1"/>
    <col min="2" max="2" width="4.85546875" customWidth="1"/>
    <col min="4" max="4" width="9.140625" customWidth="1"/>
    <col min="5" max="5" width="5" customWidth="1"/>
  </cols>
  <sheetData>
    <row r="1" spans="1:12" x14ac:dyDescent="0.25">
      <c r="A1" s="539" t="s">
        <v>1498</v>
      </c>
    </row>
    <row r="3" spans="1:12" x14ac:dyDescent="0.25">
      <c r="A3" s="540" t="s">
        <v>28</v>
      </c>
      <c r="C3" t="s">
        <v>105</v>
      </c>
      <c r="D3" s="486">
        <f>COUNT(A4:A15)</f>
        <v>12</v>
      </c>
      <c r="F3" s="53" t="s">
        <v>528</v>
      </c>
      <c r="G3" s="316">
        <v>4</v>
      </c>
      <c r="H3" s="314" t="e">
        <f ca="1">G3-G4/G5</f>
        <v>#NAME?</v>
      </c>
      <c r="I3" s="314" t="e">
        <f ca="1">H3-H4/H5</f>
        <v>#NAME?</v>
      </c>
      <c r="J3" s="314" t="e">
        <f ca="1">I3-I4/I5</f>
        <v>#NAME?</v>
      </c>
      <c r="K3" s="314" t="e">
        <f ca="1">J3-J4/J5</f>
        <v>#NAME?</v>
      </c>
      <c r="L3" s="317" t="e">
        <f ca="1">K3-K4/K5</f>
        <v>#NAME?</v>
      </c>
    </row>
    <row r="4" spans="1:12" x14ac:dyDescent="0.25">
      <c r="A4" s="541">
        <v>509</v>
      </c>
      <c r="C4" t="s">
        <v>1496</v>
      </c>
      <c r="D4" s="215">
        <f>AVERAGE(A4:A15)</f>
        <v>624.25</v>
      </c>
      <c r="F4" t="s">
        <v>1339</v>
      </c>
      <c r="G4" s="166">
        <f t="shared" ref="G4:L4" si="0">GAMMALN(1+2/G3)-2*GAMMALN(1+1/G3)-LN($D$5+$D$4^2)+2*LN($D$4)</f>
        <v>-7.3679903708256944E-3</v>
      </c>
      <c r="H4" s="8" t="e">
        <f t="shared" ca="1" si="0"/>
        <v>#NAME?</v>
      </c>
      <c r="I4" s="8" t="e">
        <f t="shared" ca="1" si="0"/>
        <v>#NAME?</v>
      </c>
      <c r="J4" s="8" t="e">
        <f t="shared" ca="1" si="0"/>
        <v>#NAME?</v>
      </c>
      <c r="K4" s="8" t="e">
        <f t="shared" ca="1" si="0"/>
        <v>#NAME?</v>
      </c>
      <c r="L4" s="167" t="e">
        <f t="shared" ca="1" si="0"/>
        <v>#NAME?</v>
      </c>
    </row>
    <row r="5" spans="1:12" x14ac:dyDescent="0.25">
      <c r="A5" s="541">
        <v>660</v>
      </c>
      <c r="C5" t="s">
        <v>65</v>
      </c>
      <c r="D5" s="155">
        <f>VAR(A4:A15)</f>
        <v>33779.11363636364</v>
      </c>
      <c r="F5" t="s">
        <v>1497</v>
      </c>
      <c r="G5" s="148" t="e">
        <f ca="1">2*(POLYGAMMA(1+1/G3)-POLYGAMMA(1+2/G3))/G3^2</f>
        <v>#NAME?</v>
      </c>
      <c r="H5" s="276" t="e">
        <f ca="1">2*(POLYGAMMA(1+1/H3)-POLYGAMMA(1+2/H3))/H3^2</f>
        <v>#NAME?</v>
      </c>
      <c r="I5" s="276" t="e">
        <f ca="1">2*(POLYGAMMA(1+1/I3)-POLYGAMMA(1+2/I3))/I3^2</f>
        <v>#NAME?</v>
      </c>
      <c r="J5" s="276" t="e">
        <f ca="1">2*(POLYGAMMA(1+1/J3)-POLYGAMMA(1+2/J3))/J3^2</f>
        <v>#NAME?</v>
      </c>
      <c r="K5" s="276" t="e">
        <f ca="1">2*(POLYGAMMA(1+1/K3)-POLYGAMMA(1+2/K3))/K3^2</f>
        <v>#NAME?</v>
      </c>
      <c r="L5" s="153" t="e">
        <f ca="1">2*(POLYGAMMA(1+1/L3)-POLYGAMMA(1+2/L3))/L3^2</f>
        <v>#NAME?</v>
      </c>
    </row>
    <row r="6" spans="1:12" x14ac:dyDescent="0.25">
      <c r="A6" s="541">
        <v>386</v>
      </c>
    </row>
    <row r="7" spans="1:12" x14ac:dyDescent="0.25">
      <c r="A7" s="541">
        <v>753</v>
      </c>
      <c r="C7" t="s">
        <v>262</v>
      </c>
      <c r="D7" s="486">
        <f>D4/EXP(GAMMALN(1+1/D8))</f>
        <v>691.02668614678282</v>
      </c>
      <c r="F7" s="53" t="s">
        <v>528</v>
      </c>
      <c r="G7" s="316">
        <v>3.7</v>
      </c>
      <c r="H7" s="314">
        <v>3.77</v>
      </c>
      <c r="I7" s="314">
        <v>3.7709999999999999</v>
      </c>
      <c r="J7" s="314">
        <v>3.7711999999999999</v>
      </c>
      <c r="K7" s="314">
        <v>3.7708599999999999</v>
      </c>
      <c r="L7" s="317">
        <v>3.7708590000000002</v>
      </c>
    </row>
    <row r="8" spans="1:12" x14ac:dyDescent="0.25">
      <c r="A8" s="541">
        <v>811</v>
      </c>
      <c r="C8" t="s">
        <v>398</v>
      </c>
      <c r="D8" s="155">
        <v>3.7683</v>
      </c>
      <c r="F8" t="s">
        <v>1339</v>
      </c>
      <c r="G8" s="166">
        <f t="shared" ref="G8:L8" si="1">GAMMALN(1+2/G7)-2*GAMMALN(1+1/G7)-LN($D$5+$D$4^2)+2*LN($D$4)</f>
        <v>3.6032483226104972E-3</v>
      </c>
      <c r="H8" s="8">
        <f t="shared" si="1"/>
        <v>8.3741076761079114E-4</v>
      </c>
      <c r="I8" s="8">
        <f t="shared" si="1"/>
        <v>7.9887175917470188E-4</v>
      </c>
      <c r="J8" s="8">
        <f t="shared" si="1"/>
        <v>7.9116717338933995E-4</v>
      </c>
      <c r="K8" s="8">
        <f t="shared" si="1"/>
        <v>8.0426560687563153E-4</v>
      </c>
      <c r="L8" s="167">
        <f t="shared" si="1"/>
        <v>8.0430413624732466E-4</v>
      </c>
    </row>
    <row r="9" spans="1:12" x14ac:dyDescent="0.25">
      <c r="A9" s="541">
        <v>613</v>
      </c>
      <c r="F9" t="s">
        <v>1497</v>
      </c>
      <c r="G9" s="148" t="e">
        <f ca="1">-2*(POLYGAMMA(1+1/G7)-POLYGAMMA(1+2/G7))/G7^2</f>
        <v>#NAME?</v>
      </c>
      <c r="H9" s="276" t="e">
        <f ca="1">-2*(POLYGAMMA(1+1/H7)-POLYGAMMA(1+2/H7))/H7^2</f>
        <v>#NAME?</v>
      </c>
      <c r="I9" s="276" t="e">
        <f ca="1">-2*(POLYGAMMA(1+1/I7)-POLYGAMMA(1+2/I7))/I7^2</f>
        <v>#NAME?</v>
      </c>
      <c r="J9" s="276" t="e">
        <f ca="1">-2*(POLYGAMMA(1+1/J7)-POLYGAMMA(1+2/J7))/J7^2</f>
        <v>#NAME?</v>
      </c>
      <c r="K9" s="276" t="e">
        <f ca="1">-2*(POLYGAMMA(1+1/K7)-POLYGAMMA(1+2/K7))/K7^2</f>
        <v>#NAME?</v>
      </c>
      <c r="L9" s="153" t="e">
        <f ca="1">-2*(POLYGAMMA(1+1/L7)-POLYGAMMA(1+2/L7))/L7^2</f>
        <v>#NAME?</v>
      </c>
    </row>
    <row r="10" spans="1:12" x14ac:dyDescent="0.25">
      <c r="A10" s="541">
        <v>848</v>
      </c>
      <c r="C10" t="e">
        <f t="array" aca="1" ref="C10:D12" ca="1">WEIBULL_FITM(A4:A15,TRUE)</f>
        <v>#NAME?</v>
      </c>
      <c r="D10" s="486" t="e">
        <f ca="1"/>
        <v>#NAME?</v>
      </c>
    </row>
    <row r="11" spans="1:12" x14ac:dyDescent="0.25">
      <c r="A11" s="541">
        <v>725</v>
      </c>
      <c r="C11" t="e">
        <f ca="1"/>
        <v>#NAME?</v>
      </c>
      <c r="D11" s="163" t="e">
        <f ca="1"/>
        <v>#NAME?</v>
      </c>
      <c r="G11" s="229">
        <f t="shared" ref="G11:L11" si="2">GAMMALN(1+2/G3)-2*GAMMALN(1+1/G3)-LN($D$5+$D$4^2)+2*LN($D$4)</f>
        <v>-7.3679903708256944E-3</v>
      </c>
      <c r="H11" s="491" t="e">
        <f t="shared" ca="1" si="2"/>
        <v>#NAME?</v>
      </c>
      <c r="I11" s="491" t="e">
        <f t="shared" ca="1" si="2"/>
        <v>#NAME?</v>
      </c>
      <c r="J11" s="491" t="e">
        <f t="shared" ca="1" si="2"/>
        <v>#NAME?</v>
      </c>
      <c r="K11" s="491" t="e">
        <f t="shared" ca="1" si="2"/>
        <v>#NAME?</v>
      </c>
      <c r="L11" s="230" t="e">
        <f t="shared" ca="1" si="2"/>
        <v>#NAME?</v>
      </c>
    </row>
    <row r="12" spans="1:12" x14ac:dyDescent="0.25">
      <c r="A12" s="541">
        <v>315</v>
      </c>
      <c r="C12" t="e">
        <f ca="1"/>
        <v>#NAME?</v>
      </c>
      <c r="D12" s="155" t="e">
        <f ca="1"/>
        <v>#NAME?</v>
      </c>
    </row>
    <row r="13" spans="1:12" x14ac:dyDescent="0.25">
      <c r="A13" s="541">
        <v>872</v>
      </c>
    </row>
    <row r="14" spans="1:12" x14ac:dyDescent="0.25">
      <c r="A14" s="542">
        <v>487</v>
      </c>
    </row>
    <row r="15" spans="1:12" x14ac:dyDescent="0.25">
      <c r="A15" s="543">
        <v>512</v>
      </c>
    </row>
    <row r="16" spans="1:12" x14ac:dyDescent="0.25">
      <c r="A16" s="541"/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F21"/>
  <sheetViews>
    <sheetView workbookViewId="0"/>
  </sheetViews>
  <sheetFormatPr defaultRowHeight="15" x14ac:dyDescent="0.25"/>
  <cols>
    <col min="2" max="2" width="7.140625" customWidth="1"/>
    <col min="5" max="5" width="3.42578125" customWidth="1"/>
    <col min="6" max="6" width="28.85546875" customWidth="1"/>
  </cols>
  <sheetData>
    <row r="1" spans="1:6" x14ac:dyDescent="0.25">
      <c r="A1" s="1" t="s">
        <v>1551</v>
      </c>
    </row>
    <row r="3" spans="1:6" x14ac:dyDescent="0.25">
      <c r="A3" s="540" t="s">
        <v>28</v>
      </c>
      <c r="C3" t="s">
        <v>63</v>
      </c>
      <c r="D3" s="554">
        <f>AVERAGE(A4:A21)</f>
        <v>0.38444444444444437</v>
      </c>
      <c r="F3" t="e">
        <f ca="1">FTEXT(D3)</f>
        <v>#NAME?</v>
      </c>
    </row>
    <row r="4" spans="1:6" x14ac:dyDescent="0.25">
      <c r="A4" s="552">
        <v>0.28999999999999998</v>
      </c>
      <c r="C4" t="s">
        <v>65</v>
      </c>
      <c r="D4" s="155">
        <f>VAR(A4:A21)</f>
        <v>2.8508496732026156E-2</v>
      </c>
      <c r="F4" s="22" t="s">
        <v>1552</v>
      </c>
    </row>
    <row r="5" spans="1:6" x14ac:dyDescent="0.25">
      <c r="A5" s="552">
        <v>0.31</v>
      </c>
    </row>
    <row r="6" spans="1:6" x14ac:dyDescent="0.25">
      <c r="A6" s="552">
        <v>0.65</v>
      </c>
      <c r="C6" t="s">
        <v>262</v>
      </c>
      <c r="D6" s="486">
        <f>D3*(D3*(1-D3)/D4-1)</f>
        <v>2.8068003299124986</v>
      </c>
      <c r="F6" t="e">
        <f ca="1">FTEXT(D6)</f>
        <v>#NAME?</v>
      </c>
    </row>
    <row r="7" spans="1:6" x14ac:dyDescent="0.25">
      <c r="A7" s="552">
        <v>0.05</v>
      </c>
      <c r="C7" t="s">
        <v>398</v>
      </c>
      <c r="D7" s="155">
        <f>D6*(1-D3)/D3</f>
        <v>4.4941253837327304</v>
      </c>
      <c r="F7" t="e">
        <f ca="1">FTEXT(D7)</f>
        <v>#NAME?</v>
      </c>
    </row>
    <row r="8" spans="1:6" x14ac:dyDescent="0.25">
      <c r="A8" s="552">
        <v>0.45</v>
      </c>
    </row>
    <row r="9" spans="1:6" x14ac:dyDescent="0.25">
      <c r="A9" s="552">
        <v>0.22</v>
      </c>
      <c r="C9" t="s">
        <v>63</v>
      </c>
      <c r="D9" s="554">
        <f>D6/(D6+D7)</f>
        <v>0.38444444444444437</v>
      </c>
      <c r="F9" t="e">
        <f ca="1">FTEXT(D9)</f>
        <v>#NAME?</v>
      </c>
    </row>
    <row r="10" spans="1:6" x14ac:dyDescent="0.25">
      <c r="A10" s="552">
        <v>0.39</v>
      </c>
      <c r="C10" t="s">
        <v>65</v>
      </c>
      <c r="D10" s="155">
        <f>D6*D7/((D6+D7)^2*(D6+D7+1))</f>
        <v>2.8508496732026153E-2</v>
      </c>
      <c r="F10" t="e">
        <f ca="1">FTEXT(D10)</f>
        <v>#NAME?</v>
      </c>
    </row>
    <row r="11" spans="1:6" x14ac:dyDescent="0.25">
      <c r="A11" s="552">
        <v>0.41</v>
      </c>
    </row>
    <row r="12" spans="1:6" x14ac:dyDescent="0.25">
      <c r="A12" s="552">
        <v>0.47</v>
      </c>
      <c r="C12" t="e">
        <f t="array" aca="1" ref="C12:D14" ca="1">BETA_FITM(A4:A21,TRUE)</f>
        <v>#NAME?</v>
      </c>
      <c r="D12" s="486" t="e">
        <f ca="1"/>
        <v>#NAME?</v>
      </c>
      <c r="F12" t="e">
        <f ca="1">FTEXT(D12)</f>
        <v>#NAME?</v>
      </c>
    </row>
    <row r="13" spans="1:6" x14ac:dyDescent="0.25">
      <c r="A13" s="552">
        <v>0.27</v>
      </c>
      <c r="C13" t="e">
        <f ca="1"/>
        <v>#NAME?</v>
      </c>
      <c r="D13" s="163" t="e">
        <f ca="1"/>
        <v>#NAME?</v>
      </c>
    </row>
    <row r="14" spans="1:6" x14ac:dyDescent="0.25">
      <c r="A14" s="552">
        <v>0.36</v>
      </c>
      <c r="C14" t="e">
        <f ca="1"/>
        <v>#NAME?</v>
      </c>
      <c r="D14" s="155" t="e">
        <f ca="1"/>
        <v>#NAME?</v>
      </c>
    </row>
    <row r="15" spans="1:6" x14ac:dyDescent="0.25">
      <c r="A15" s="552">
        <v>0.53</v>
      </c>
    </row>
    <row r="16" spans="1:6" x14ac:dyDescent="0.25">
      <c r="A16" s="552">
        <v>0.14000000000000001</v>
      </c>
    </row>
    <row r="17" spans="1:1" x14ac:dyDescent="0.25">
      <c r="A17" s="552">
        <v>0.55000000000000004</v>
      </c>
    </row>
    <row r="18" spans="1:1" x14ac:dyDescent="0.25">
      <c r="A18" s="552">
        <v>0.31</v>
      </c>
    </row>
    <row r="19" spans="1:1" x14ac:dyDescent="0.25">
      <c r="A19" s="552">
        <v>0.73</v>
      </c>
    </row>
    <row r="20" spans="1:1" x14ac:dyDescent="0.25">
      <c r="A20" s="552">
        <v>0.37</v>
      </c>
    </row>
    <row r="21" spans="1:1" x14ac:dyDescent="0.25">
      <c r="A21" s="527">
        <v>0.42</v>
      </c>
    </row>
  </sheetData>
  <pageMargins left="0.7" right="0.7" top="0.75" bottom="0.75" header="0.3" footer="0.3"/>
  <pageSetup paperSize="9"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H12"/>
  <sheetViews>
    <sheetView workbookViewId="0"/>
  </sheetViews>
  <sheetFormatPr defaultRowHeight="15" x14ac:dyDescent="0.25"/>
  <cols>
    <col min="1" max="1" width="3.42578125" customWidth="1"/>
    <col min="4" max="4" width="5" customWidth="1"/>
    <col min="5" max="5" width="7.7109375" customWidth="1"/>
    <col min="7" max="7" width="2.85546875" customWidth="1"/>
    <col min="8" max="8" width="28.140625" customWidth="1"/>
  </cols>
  <sheetData>
    <row r="1" spans="1:8" x14ac:dyDescent="0.25">
      <c r="A1" s="1" t="s">
        <v>1492</v>
      </c>
    </row>
    <row r="3" spans="1:8" x14ac:dyDescent="0.25">
      <c r="B3" s="316">
        <v>0.19475522401468082</v>
      </c>
      <c r="C3" s="317">
        <v>0.49972546107261362</v>
      </c>
      <c r="E3" t="s">
        <v>63</v>
      </c>
      <c r="F3" s="486">
        <f>AVERAGE(B3:C12)</f>
        <v>0.50290070013877841</v>
      </c>
      <c r="H3" t="e">
        <f ca="1">FTEXT(F3)</f>
        <v>#NAME?</v>
      </c>
    </row>
    <row r="4" spans="1:8" x14ac:dyDescent="0.25">
      <c r="B4" s="166">
        <v>7.1745968400652838E-2</v>
      </c>
      <c r="C4" s="167">
        <v>7.696501560443747E-2</v>
      </c>
      <c r="E4" t="s">
        <v>66</v>
      </c>
      <c r="F4" s="163">
        <f>STDEV(B3:C12)</f>
        <v>0.31105919822046629</v>
      </c>
      <c r="H4" s="22" t="s">
        <v>1493</v>
      </c>
    </row>
    <row r="5" spans="1:8" x14ac:dyDescent="0.25">
      <c r="B5" s="166">
        <v>0.76615528057237703</v>
      </c>
      <c r="C5" s="167">
        <v>0.28880057459994912</v>
      </c>
      <c r="E5" t="s">
        <v>262</v>
      </c>
      <c r="F5" s="163">
        <f>F3-SQRT(3)*F4</f>
        <v>-3.586963534070764E-2</v>
      </c>
      <c r="H5" t="e">
        <f ca="1">FTEXT(F5)</f>
        <v>#NAME?</v>
      </c>
    </row>
    <row r="6" spans="1:8" x14ac:dyDescent="0.25">
      <c r="B6" s="166">
        <v>0.86155164573838494</v>
      </c>
      <c r="C6" s="167">
        <v>0.9992301268494701</v>
      </c>
      <c r="E6" t="s">
        <v>398</v>
      </c>
      <c r="F6" s="155">
        <f>F3+SQRT(3)*F4</f>
        <v>1.0416710356182644</v>
      </c>
      <c r="H6" t="e">
        <f ca="1">FTEXT(F6)</f>
        <v>#NAME?</v>
      </c>
    </row>
    <row r="7" spans="1:8" x14ac:dyDescent="0.25">
      <c r="B7" s="166">
        <v>0.30935117696985892</v>
      </c>
      <c r="C7" s="167">
        <v>4.3082998095775871E-3</v>
      </c>
    </row>
    <row r="8" spans="1:8" x14ac:dyDescent="0.25">
      <c r="B8" s="166">
        <v>0.81616101449077938</v>
      </c>
      <c r="C8" s="167">
        <v>0.63123395198528909</v>
      </c>
      <c r="E8" t="e">
        <f t="array" aca="1" ref="E8:F10" ca="1">UNIFORM_FITM(B3:C12,TRUE)</f>
        <v>#NAME?</v>
      </c>
      <c r="F8" s="486" t="e">
        <f ca="1"/>
        <v>#NAME?</v>
      </c>
      <c r="H8" t="e">
        <f ca="1">FTEXT(F8)</f>
        <v>#NAME?</v>
      </c>
    </row>
    <row r="9" spans="1:8" x14ac:dyDescent="0.25">
      <c r="B9" s="166">
        <v>0.78391098319653485</v>
      </c>
      <c r="C9" s="167">
        <v>0.12441084778974587</v>
      </c>
      <c r="E9" t="e">
        <f ca="1"/>
        <v>#NAME?</v>
      </c>
      <c r="F9" s="163" t="e">
        <f ca="1"/>
        <v>#NAME?</v>
      </c>
    </row>
    <row r="10" spans="1:8" x14ac:dyDescent="0.25">
      <c r="B10" s="166">
        <v>0.65033552042937726</v>
      </c>
      <c r="C10" s="167">
        <v>0.7354627457237779</v>
      </c>
      <c r="E10" t="e">
        <f ca="1"/>
        <v>#NAME?</v>
      </c>
      <c r="F10" s="155" t="e">
        <f ca="1"/>
        <v>#NAME?</v>
      </c>
    </row>
    <row r="11" spans="1:8" x14ac:dyDescent="0.25">
      <c r="B11" s="166">
        <v>0.6465156704906786</v>
      </c>
      <c r="C11" s="167">
        <v>0.20606136064043235</v>
      </c>
    </row>
    <row r="12" spans="1:8" x14ac:dyDescent="0.25">
      <c r="B12" s="148">
        <v>0.64958420954791096</v>
      </c>
      <c r="C12" s="153">
        <v>0.74174892484903876</v>
      </c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16"/>
  <sheetViews>
    <sheetView workbookViewId="0">
      <selection activeCell="G19" sqref="G19"/>
    </sheetView>
  </sheetViews>
  <sheetFormatPr defaultRowHeight="15" x14ac:dyDescent="0.25"/>
  <cols>
    <col min="3" max="3" width="3.7109375" customWidth="1"/>
    <col min="6" max="6" width="2.85546875" customWidth="1"/>
    <col min="7" max="7" width="33" customWidth="1"/>
  </cols>
  <sheetData>
    <row r="1" spans="1:7" x14ac:dyDescent="0.25">
      <c r="A1" s="1" t="s">
        <v>1499</v>
      </c>
    </row>
    <row r="3" spans="1:7" x14ac:dyDescent="0.25">
      <c r="A3" s="492" t="s">
        <v>28</v>
      </c>
      <c r="B3" s="492" t="s">
        <v>1500</v>
      </c>
      <c r="D3" s="53" t="s">
        <v>140</v>
      </c>
      <c r="E3" s="486">
        <v>689.80654449391261</v>
      </c>
    </row>
    <row r="4" spans="1:7" x14ac:dyDescent="0.25">
      <c r="A4" s="538">
        <v>509</v>
      </c>
      <c r="B4" s="538">
        <f t="shared" ref="B4:B15" si="0">($E$4-1)*LN(A4)-(A4/$E$3)^$E$4</f>
        <v>19.298050260702713</v>
      </c>
      <c r="D4" s="53" t="s">
        <v>528</v>
      </c>
      <c r="E4" s="163">
        <v>4.1419417648761891</v>
      </c>
    </row>
    <row r="5" spans="1:7" x14ac:dyDescent="0.25">
      <c r="A5" s="538">
        <v>660</v>
      </c>
      <c r="B5" s="538">
        <f t="shared" si="0"/>
        <v>19.56543399703958</v>
      </c>
      <c r="D5" t="s">
        <v>105</v>
      </c>
      <c r="E5" s="163">
        <f>COUNT(A4:A15)</f>
        <v>12</v>
      </c>
      <c r="G5" t="e">
        <f ca="1">FTEXT(E5)</f>
        <v>#NAME?</v>
      </c>
    </row>
    <row r="6" spans="1:7" x14ac:dyDescent="0.25">
      <c r="A6" s="538">
        <v>386</v>
      </c>
      <c r="B6" s="538">
        <f t="shared" si="0"/>
        <v>18.622601862658481</v>
      </c>
      <c r="D6" t="s">
        <v>1501</v>
      </c>
      <c r="E6" s="155">
        <f>E5*(LN(E4)-E4*LN(E3))+B16</f>
        <v>-78.839635149077765</v>
      </c>
      <c r="G6" t="e">
        <f ca="1">FTEXT(E6)</f>
        <v>#NAME?</v>
      </c>
    </row>
    <row r="7" spans="1:7" x14ac:dyDescent="0.25">
      <c r="A7" s="538">
        <v>753</v>
      </c>
      <c r="B7" s="538">
        <f t="shared" si="0"/>
        <v>19.374708050913366</v>
      </c>
    </row>
    <row r="8" spans="1:7" x14ac:dyDescent="0.25">
      <c r="A8" s="538">
        <v>811</v>
      </c>
      <c r="B8" s="538">
        <f t="shared" si="0"/>
        <v>19.090545629177331</v>
      </c>
    </row>
    <row r="9" spans="1:7" x14ac:dyDescent="0.25">
      <c r="A9" s="538">
        <v>613</v>
      </c>
      <c r="B9" s="538">
        <f t="shared" si="0"/>
        <v>19.552853162211122</v>
      </c>
    </row>
    <row r="10" spans="1:7" x14ac:dyDescent="0.25">
      <c r="A10" s="538">
        <v>848</v>
      </c>
      <c r="B10" s="538">
        <f t="shared" si="0"/>
        <v>18.833930202843213</v>
      </c>
    </row>
    <row r="11" spans="1:7" x14ac:dyDescent="0.25">
      <c r="A11" s="538">
        <v>725</v>
      </c>
      <c r="B11" s="538">
        <f t="shared" si="0"/>
        <v>19.464485617269553</v>
      </c>
    </row>
    <row r="12" spans="1:7" x14ac:dyDescent="0.25">
      <c r="A12" s="538">
        <v>315</v>
      </c>
      <c r="B12" s="538">
        <f t="shared" si="0"/>
        <v>18.035342494945251</v>
      </c>
    </row>
    <row r="13" spans="1:7" x14ac:dyDescent="0.25">
      <c r="A13" s="538">
        <v>872</v>
      </c>
      <c r="B13" s="538">
        <f t="shared" si="0"/>
        <v>18.633420562455555</v>
      </c>
    </row>
    <row r="14" spans="1:7" x14ac:dyDescent="0.25">
      <c r="A14" s="538">
        <v>487</v>
      </c>
      <c r="B14" s="538">
        <f t="shared" si="0"/>
        <v>19.20671227485094</v>
      </c>
    </row>
    <row r="15" spans="1:7" x14ac:dyDescent="0.25">
      <c r="A15" s="527">
        <v>512</v>
      </c>
      <c r="B15" s="527">
        <f t="shared" si="0"/>
        <v>19.309518200171624</v>
      </c>
      <c r="G15" t="e">
        <f ca="1">FTEXT(B15)</f>
        <v>#NAME?</v>
      </c>
    </row>
    <row r="16" spans="1:7" x14ac:dyDescent="0.25">
      <c r="B16" s="111">
        <f>SUM(B4:B15)</f>
        <v>228.98760231523869</v>
      </c>
      <c r="G16" t="e">
        <f ca="1">FTEXT(B16)</f>
        <v>#NAME?</v>
      </c>
    </row>
  </sheetData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B16"/>
  <sheetViews>
    <sheetView workbookViewId="0">
      <selection activeCell="U1" sqref="U1"/>
    </sheetView>
  </sheetViews>
  <sheetFormatPr defaultRowHeight="15" x14ac:dyDescent="0.25"/>
  <cols>
    <col min="2" max="2" width="3.140625" customWidth="1"/>
    <col min="3" max="3" width="6.7109375" customWidth="1"/>
    <col min="4" max="4" width="9.140625" customWidth="1"/>
    <col min="6" max="6" width="9.140625" customWidth="1"/>
    <col min="9" max="9" width="4.7109375" customWidth="1"/>
    <col min="13" max="13" width="9.140625" customWidth="1"/>
    <col min="16" max="16" width="3.28515625" customWidth="1"/>
    <col min="17" max="17" width="9.140625" customWidth="1"/>
  </cols>
  <sheetData>
    <row r="1" spans="1:28" x14ac:dyDescent="0.25">
      <c r="A1" s="1" t="s">
        <v>1502</v>
      </c>
    </row>
    <row r="3" spans="1:28" x14ac:dyDescent="0.25">
      <c r="A3" s="492" t="s">
        <v>28</v>
      </c>
      <c r="C3" s="53" t="s">
        <v>140</v>
      </c>
      <c r="D3" s="486">
        <f>D5^(1/D4)</f>
        <v>689.80707224236005</v>
      </c>
      <c r="H3" s="544"/>
      <c r="I3" s="544"/>
      <c r="U3" t="s">
        <v>527</v>
      </c>
      <c r="X3" t="s">
        <v>1643</v>
      </c>
      <c r="Y3">
        <v>20</v>
      </c>
    </row>
    <row r="4" spans="1:28" x14ac:dyDescent="0.25">
      <c r="A4" s="538">
        <v>509</v>
      </c>
      <c r="C4" s="53" t="s">
        <v>528</v>
      </c>
      <c r="D4" s="163">
        <f>H11</f>
        <v>4.1419376277501021</v>
      </c>
    </row>
    <row r="5" spans="1:28" x14ac:dyDescent="0.25">
      <c r="A5" s="538">
        <v>660</v>
      </c>
      <c r="C5" s="53" t="s">
        <v>1503</v>
      </c>
      <c r="D5" s="163">
        <f>H12/D6</f>
        <v>572575601573.98792</v>
      </c>
      <c r="U5" t="s">
        <v>1644</v>
      </c>
      <c r="X5" t="s">
        <v>1501</v>
      </c>
      <c r="AA5" t="s">
        <v>1544</v>
      </c>
    </row>
    <row r="6" spans="1:28" x14ac:dyDescent="0.25">
      <c r="A6" s="538">
        <v>386</v>
      </c>
      <c r="C6" t="s">
        <v>105</v>
      </c>
      <c r="D6" s="163">
        <f>COUNT(A4:A15)</f>
        <v>12</v>
      </c>
    </row>
    <row r="7" spans="1:28" x14ac:dyDescent="0.25">
      <c r="A7" s="538">
        <v>753</v>
      </c>
      <c r="C7" t="s">
        <v>696</v>
      </c>
      <c r="D7" s="163">
        <f>SUMPRODUCT(LN(A4:A15))</f>
        <v>76.700226540390631</v>
      </c>
      <c r="U7" t="e">
        <f t="array" aca="1" ref="U7:V9" ca="1">WEIBULL_FITM(A4:A15,TRUE,,Y3)</f>
        <v>#NAME?</v>
      </c>
      <c r="V7" s="509" t="e">
        <f ca="1"/>
        <v>#NAME?</v>
      </c>
      <c r="X7" t="e">
        <f t="array" aca="1" ref="X7:Y13" ca="1">WEIBULL_FIT(A4:A15,TRUE,Y3)</f>
        <v>#NAME?</v>
      </c>
      <c r="Y7" s="509" t="e">
        <f ca="1"/>
        <v>#NAME?</v>
      </c>
      <c r="AA7" t="e">
        <f t="array" aca="1" ref="AA7:AB14" ca="1">WEIBULL_FITR(A4:A15,TRUE)</f>
        <v>#NAME?</v>
      </c>
      <c r="AB7" s="509" t="e">
        <f ca="1"/>
        <v>#NAME?</v>
      </c>
    </row>
    <row r="8" spans="1:28" x14ac:dyDescent="0.25">
      <c r="A8" s="538">
        <v>811</v>
      </c>
      <c r="C8" t="s">
        <v>1501</v>
      </c>
      <c r="D8" s="155">
        <f>D6*(LN(D4)-LN(D5))+(D4-1)*D7-D6</f>
        <v>-78.839635148992386</v>
      </c>
      <c r="U8" t="e">
        <f ca="1"/>
        <v>#NAME?</v>
      </c>
      <c r="V8" s="238" t="e">
        <f ca="1"/>
        <v>#NAME?</v>
      </c>
      <c r="X8" t="e">
        <f ca="1"/>
        <v>#NAME?</v>
      </c>
      <c r="Y8" s="238" t="e">
        <f ca="1"/>
        <v>#NAME?</v>
      </c>
      <c r="AA8" t="e">
        <f ca="1"/>
        <v>#NAME?</v>
      </c>
      <c r="AB8" s="238" t="e">
        <f ca="1"/>
        <v>#NAME?</v>
      </c>
    </row>
    <row r="9" spans="1:28" x14ac:dyDescent="0.25">
      <c r="A9" s="538">
        <v>613</v>
      </c>
      <c r="U9" t="e">
        <f ca="1"/>
        <v>#NAME?</v>
      </c>
      <c r="V9" s="272" t="e">
        <f ca="1"/>
        <v>#NAME?</v>
      </c>
      <c r="X9" t="e">
        <f ca="1"/>
        <v>#NAME?</v>
      </c>
      <c r="Y9" s="238" t="e">
        <f ca="1"/>
        <v>#NAME?</v>
      </c>
      <c r="AA9" t="e">
        <f ca="1"/>
        <v>#NAME?</v>
      </c>
      <c r="AB9" s="238" t="e">
        <f ca="1"/>
        <v>#NAME?</v>
      </c>
    </row>
    <row r="10" spans="1:28" x14ac:dyDescent="0.25">
      <c r="A10" s="538">
        <v>848</v>
      </c>
      <c r="D10">
        <v>0</v>
      </c>
      <c r="E10">
        <v>1</v>
      </c>
      <c r="F10">
        <v>2</v>
      </c>
      <c r="G10">
        <v>3</v>
      </c>
      <c r="H10">
        <v>4</v>
      </c>
      <c r="J10" t="s">
        <v>262</v>
      </c>
      <c r="K10" s="486">
        <f>D3</f>
        <v>689.80707224236005</v>
      </c>
      <c r="N10" t="e">
        <f t="array" aca="1" ref="N10:O16" ca="1">WEIBULL_FIT(A4:A15,TRUE,20,4)</f>
        <v>#NAME?</v>
      </c>
      <c r="O10" s="486" t="e">
        <f ca="1"/>
        <v>#NAME?</v>
      </c>
      <c r="Q10" t="e">
        <f ca="1">FTEXT(O10)</f>
        <v>#NAME?</v>
      </c>
      <c r="X10" t="e">
        <f ca="1"/>
        <v>#NAME?</v>
      </c>
      <c r="Y10" s="238" t="e">
        <f ca="1"/>
        <v>#NAME?</v>
      </c>
      <c r="AA10" t="e">
        <f ca="1"/>
        <v>#NAME?</v>
      </c>
      <c r="AB10" s="238" t="e">
        <f ca="1"/>
        <v>#NAME?</v>
      </c>
    </row>
    <row r="11" spans="1:28" x14ac:dyDescent="0.25">
      <c r="A11" s="538">
        <v>725</v>
      </c>
      <c r="C11" s="53" t="s">
        <v>528</v>
      </c>
      <c r="D11" s="316">
        <v>4</v>
      </c>
      <c r="E11" s="314">
        <f>D11-D15/D16</f>
        <v>4.1376205344931289</v>
      </c>
      <c r="F11" s="314">
        <f>E11-E15/E16</f>
        <v>4.1419336314314315</v>
      </c>
      <c r="G11" s="314">
        <f>F11-F15/F16</f>
        <v>4.1419376277466586</v>
      </c>
      <c r="H11" s="317">
        <f>G11-G15/G16</f>
        <v>4.1419376277501021</v>
      </c>
      <c r="J11" t="s">
        <v>398</v>
      </c>
      <c r="K11" s="163">
        <f>D4</f>
        <v>4.1419376277501021</v>
      </c>
      <c r="N11" t="e">
        <f ca="1"/>
        <v>#NAME?</v>
      </c>
      <c r="O11" s="163" t="e">
        <f ca="1"/>
        <v>#NAME?</v>
      </c>
      <c r="U11" t="e">
        <f t="array" aca="1" ref="U11:V13" ca="1">WEIBULL_FITM(A4:A15,TRUE,TRUE,Y3)</f>
        <v>#NAME?</v>
      </c>
      <c r="V11" s="509" t="e">
        <f ca="1"/>
        <v>#NAME?</v>
      </c>
      <c r="X11" t="e">
        <f ca="1"/>
        <v>#NAME?</v>
      </c>
      <c r="Y11" s="238" t="e">
        <f ca="1"/>
        <v>#NAME?</v>
      </c>
      <c r="AA11" t="e">
        <f ca="1"/>
        <v>#NAME?</v>
      </c>
      <c r="AB11" s="238" t="e">
        <f ca="1"/>
        <v>#NAME?</v>
      </c>
    </row>
    <row r="12" spans="1:28" x14ac:dyDescent="0.25">
      <c r="A12" s="538">
        <v>315</v>
      </c>
      <c r="C12" t="s">
        <v>1504</v>
      </c>
      <c r="D12" s="166">
        <f>SUMPRODUCT($A$4:$A$15^D11)</f>
        <v>2680758836679</v>
      </c>
      <c r="E12" s="8">
        <f>SUMPRODUCT($A$4:$A$15^E11)</f>
        <v>6676945541598.6807</v>
      </c>
      <c r="F12" s="8">
        <f>SUMPRODUCT($A$4:$A$15^F11)</f>
        <v>6870725086916.4531</v>
      </c>
      <c r="G12" s="8">
        <f>SUMPRODUCT($A$4:$A$15^G11)</f>
        <v>6870907218730.918</v>
      </c>
      <c r="H12" s="167">
        <f>SUMPRODUCT($A$4:$A$15^H11)</f>
        <v>6870907218887.8545</v>
      </c>
      <c r="J12" t="s">
        <v>1505</v>
      </c>
      <c r="K12" s="163">
        <f>AVERAGE(A4:A15)</f>
        <v>624.25</v>
      </c>
      <c r="N12" t="e">
        <f ca="1"/>
        <v>#NAME?</v>
      </c>
      <c r="O12" s="163" t="e">
        <f ca="1"/>
        <v>#NAME?</v>
      </c>
      <c r="U12" t="e">
        <f ca="1"/>
        <v>#NAME?</v>
      </c>
      <c r="V12" s="238" t="e">
        <f ca="1"/>
        <v>#NAME?</v>
      </c>
      <c r="X12" t="e">
        <f ca="1"/>
        <v>#NAME?</v>
      </c>
      <c r="Y12" s="238" t="e">
        <f ca="1"/>
        <v>#NAME?</v>
      </c>
      <c r="AA12" t="e">
        <f ca="1"/>
        <v>#NAME?</v>
      </c>
      <c r="AB12" s="238" t="e">
        <f ca="1"/>
        <v>#NAME?</v>
      </c>
    </row>
    <row r="13" spans="1:28" x14ac:dyDescent="0.25">
      <c r="A13" s="538">
        <v>872</v>
      </c>
      <c r="C13" t="s">
        <v>755</v>
      </c>
      <c r="D13" s="166">
        <f>SUMPRODUCT($A$4:$A$15^D11,LN($A$4:$A$15))</f>
        <v>17770644652321.211</v>
      </c>
      <c r="E13" s="8">
        <f>SUMPRODUCT($A$4:$A$15^E11,LN($A$4:$A$15))</f>
        <v>44288144654917.383</v>
      </c>
      <c r="F13" s="8">
        <f>SUMPRODUCT($A$4:$A$15^F11,LN($A$4:$A$15))</f>
        <v>45574332496834.57</v>
      </c>
      <c r="G13" s="8">
        <f>SUMPRODUCT($A$4:$A$15^G11,LN($A$4:$A$15))</f>
        <v>45575541384961.437</v>
      </c>
      <c r="H13" s="167">
        <f>SUMPRODUCT($A$4:$A$15^H11,LN($A$4:$A$15))</f>
        <v>45575541386003.102</v>
      </c>
      <c r="J13" t="s">
        <v>1506</v>
      </c>
      <c r="K13" s="163">
        <f>K10*EXP(GAMMALN(1+1/K11))</f>
        <v>626.4900005676617</v>
      </c>
      <c r="L13" s="545">
        <f>ABS(1-K13/K12)</f>
        <v>3.5883068765105719E-3</v>
      </c>
      <c r="N13" t="e">
        <f ca="1"/>
        <v>#NAME?</v>
      </c>
      <c r="O13" s="163" t="e">
        <f ca="1"/>
        <v>#NAME?</v>
      </c>
      <c r="U13" t="e">
        <f ca="1"/>
        <v>#NAME?</v>
      </c>
      <c r="V13" s="272" t="e">
        <f ca="1"/>
        <v>#NAME?</v>
      </c>
      <c r="X13" t="e">
        <f ca="1"/>
        <v>#NAME?</v>
      </c>
      <c r="Y13" s="272" t="e">
        <f ca="1"/>
        <v>#NAME?</v>
      </c>
      <c r="AA13" t="e">
        <f ca="1"/>
        <v>#NAME?</v>
      </c>
      <c r="AB13" s="238" t="e">
        <f ca="1"/>
        <v>#NAME?</v>
      </c>
    </row>
    <row r="14" spans="1:28" x14ac:dyDescent="0.25">
      <c r="A14" s="538">
        <v>487</v>
      </c>
      <c r="C14" t="s">
        <v>1507</v>
      </c>
      <c r="D14" s="166">
        <f>SUMPRODUCT($A$4:$A$15^D11,LN($A$4:$A$15)^2)</f>
        <v>117881229527779.25</v>
      </c>
      <c r="E14" s="8">
        <f>SUMPRODUCT($A$4:$A$15^E11,LN($A$4:$A$15)^2)</f>
        <v>293954483711186.94</v>
      </c>
      <c r="F14" s="8">
        <f>SUMPRODUCT($A$4:$A$15^F11,LN($A$4:$A$15)^2)</f>
        <v>302496678879990.37</v>
      </c>
      <c r="G14" s="8">
        <f>SUMPRODUCT($A$4:$A$15^G11,LN($A$4:$A$15)^2)</f>
        <v>302504707757740.75</v>
      </c>
      <c r="H14" s="167">
        <f>SUMPRODUCT($A$4:$A$15^H11,LN($A$4:$A$15)^2)</f>
        <v>302504707764659.06</v>
      </c>
      <c r="J14" t="s">
        <v>1508</v>
      </c>
      <c r="K14" s="163">
        <f>VAR(A4:A15)</f>
        <v>33779.11363636364</v>
      </c>
      <c r="N14" t="e">
        <f ca="1"/>
        <v>#NAME?</v>
      </c>
      <c r="O14" s="163" t="e">
        <f ca="1"/>
        <v>#NAME?</v>
      </c>
      <c r="AA14" t="e">
        <f ca="1"/>
        <v>#NAME?</v>
      </c>
      <c r="AB14" s="272" t="e">
        <f ca="1"/>
        <v>#NAME?</v>
      </c>
    </row>
    <row r="15" spans="1:28" x14ac:dyDescent="0.25">
      <c r="A15" s="527">
        <v>512</v>
      </c>
      <c r="C15" t="s">
        <v>1509</v>
      </c>
      <c r="D15" s="166">
        <f>1/D11+$D$7/$D$6-D13/D12</f>
        <v>1.272496522299793E-2</v>
      </c>
      <c r="E15" s="8">
        <f>1/E11+$D$7/$D$6-E13/E12</f>
        <v>3.7560738750830325E-4</v>
      </c>
      <c r="F15" s="8">
        <f>1/F11+$D$7/$D$6-F13/F12</f>
        <v>3.4737692100605955E-7</v>
      </c>
      <c r="G15" s="8">
        <f>1/G11+$D$7/$D$6-G13/G12</f>
        <v>2.993161274389422E-13</v>
      </c>
      <c r="H15" s="167">
        <f>1/H11+$D$7/$D$6-H13/H12</f>
        <v>0</v>
      </c>
      <c r="J15" t="s">
        <v>1510</v>
      </c>
      <c r="K15" s="163">
        <f>K10^2*EXP(GAMMALN(1+2/K11))-K13^2</f>
        <v>29001.556479600433</v>
      </c>
      <c r="L15" s="545">
        <f>ABS(1-K15/K14)</f>
        <v>0.14143524333391944</v>
      </c>
      <c r="N15" t="e">
        <f ca="1"/>
        <v>#NAME?</v>
      </c>
      <c r="O15" s="163" t="e">
        <f ca="1"/>
        <v>#NAME?</v>
      </c>
    </row>
    <row r="16" spans="1:28" x14ac:dyDescent="0.25">
      <c r="C16" t="s">
        <v>1511</v>
      </c>
      <c r="D16" s="148">
        <f>-1/D11^2+(D13/D12)^2-D14/D12</f>
        <v>-9.2464146210922138E-2</v>
      </c>
      <c r="E16" s="276">
        <f>-1/E11^2+(E13/E12)^2-E14/E12</f>
        <v>-8.7085310829145612E-2</v>
      </c>
      <c r="F16" s="276">
        <f>-1/F11^2+(F13/F12)^2-F14/F12</f>
        <v>-8.6924304331674307E-2</v>
      </c>
      <c r="G16" s="276">
        <f>-1/G11^2+(G13/G12)^2-G14/G12</f>
        <v>-8.6924155355049493E-2</v>
      </c>
      <c r="H16" s="153">
        <f>-1/H11^2+(H13/H12)^2-H14/H12</f>
        <v>-8.6924155354921595E-2</v>
      </c>
      <c r="J16" t="s">
        <v>1512</v>
      </c>
      <c r="K16" s="155">
        <f>D8</f>
        <v>-78.839635148992386</v>
      </c>
      <c r="N16" t="e">
        <f ca="1"/>
        <v>#NAME?</v>
      </c>
      <c r="O16" s="155" t="e">
        <f ca="1"/>
        <v>#NAME?</v>
      </c>
    </row>
  </sheetData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T24"/>
  <sheetViews>
    <sheetView workbookViewId="0">
      <selection activeCell="Q3" sqref="Q3"/>
    </sheetView>
  </sheetViews>
  <sheetFormatPr defaultRowHeight="15" x14ac:dyDescent="0.25"/>
  <cols>
    <col min="2" max="2" width="3.42578125" customWidth="1"/>
    <col min="4" max="4" width="9.140625" customWidth="1"/>
    <col min="11" max="11" width="3.85546875" customWidth="1"/>
    <col min="13" max="13" width="9.140625" customWidth="1"/>
    <col min="14" max="14" width="3.28515625" customWidth="1"/>
    <col min="16" max="16" width="4.7109375" customWidth="1"/>
    <col min="19" max="19" width="3.85546875" customWidth="1"/>
  </cols>
  <sheetData>
    <row r="1" spans="1:20" x14ac:dyDescent="0.25">
      <c r="A1" s="1" t="s">
        <v>1641</v>
      </c>
    </row>
    <row r="3" spans="1:20" x14ac:dyDescent="0.25">
      <c r="A3" s="561" t="s">
        <v>28</v>
      </c>
      <c r="C3" t="s">
        <v>1610</v>
      </c>
      <c r="D3" s="45">
        <v>900</v>
      </c>
    </row>
    <row r="4" spans="1:20" x14ac:dyDescent="0.25">
      <c r="A4" s="568">
        <v>509</v>
      </c>
      <c r="C4" t="s">
        <v>1611</v>
      </c>
      <c r="D4" s="155">
        <v>2</v>
      </c>
    </row>
    <row r="5" spans="1:20" x14ac:dyDescent="0.25">
      <c r="A5" s="568">
        <v>660</v>
      </c>
    </row>
    <row r="6" spans="1:20" x14ac:dyDescent="0.25">
      <c r="A6" s="568">
        <v>386</v>
      </c>
      <c r="C6" s="53" t="s">
        <v>140</v>
      </c>
      <c r="D6" s="45">
        <f>(J20/D9)^(1/D7)</f>
        <v>755.03826157268668</v>
      </c>
    </row>
    <row r="7" spans="1:20" x14ac:dyDescent="0.25">
      <c r="A7" s="568">
        <v>753</v>
      </c>
      <c r="C7" s="53" t="s">
        <v>528</v>
      </c>
      <c r="D7" s="163">
        <f>J15</f>
        <v>3.5543557401512267</v>
      </c>
    </row>
    <row r="8" spans="1:20" x14ac:dyDescent="0.25">
      <c r="A8" s="568">
        <v>811</v>
      </c>
      <c r="C8" s="53" t="s">
        <v>1503</v>
      </c>
      <c r="D8" s="163">
        <f>J16/D9</f>
        <v>11680412037.253511</v>
      </c>
    </row>
    <row r="9" spans="1:20" x14ac:dyDescent="0.25">
      <c r="A9" s="568">
        <v>613</v>
      </c>
      <c r="C9" t="s">
        <v>105</v>
      </c>
      <c r="D9" s="163">
        <f>COUNT(A4:A15)</f>
        <v>12</v>
      </c>
    </row>
    <row r="10" spans="1:20" x14ac:dyDescent="0.25">
      <c r="A10" s="568">
        <v>848</v>
      </c>
      <c r="C10" t="s">
        <v>696</v>
      </c>
      <c r="D10" s="163">
        <f>SUMPRODUCT(LN(A4:A15))</f>
        <v>76.700226540390631</v>
      </c>
    </row>
    <row r="11" spans="1:20" x14ac:dyDescent="0.25">
      <c r="A11" s="568">
        <v>725</v>
      </c>
      <c r="C11" t="s">
        <v>1612</v>
      </c>
      <c r="D11" s="163">
        <f>LN(D3)</f>
        <v>6.8023947633243109</v>
      </c>
    </row>
    <row r="12" spans="1:20" x14ac:dyDescent="0.25">
      <c r="A12" s="568">
        <v>315</v>
      </c>
      <c r="C12" t="s">
        <v>1501</v>
      </c>
      <c r="D12" s="155">
        <f>D9*(LN(D7)-D7*LN(D6))+(D7-1)*D10-SUMPRODUCT((A4:A15/D6)^D7)-D4*(D3/D6)^D7</f>
        <v>-83.508958924313788</v>
      </c>
    </row>
    <row r="13" spans="1:20" x14ac:dyDescent="0.25">
      <c r="A13" s="568">
        <v>872</v>
      </c>
    </row>
    <row r="14" spans="1:20" x14ac:dyDescent="0.25">
      <c r="A14" s="568">
        <v>487</v>
      </c>
      <c r="D14">
        <v>0</v>
      </c>
      <c r="E14">
        <f t="shared" ref="E14:J14" si="0">D14+1</f>
        <v>1</v>
      </c>
      <c r="F14">
        <f t="shared" si="0"/>
        <v>2</v>
      </c>
      <c r="G14">
        <f t="shared" si="0"/>
        <v>3</v>
      </c>
      <c r="H14">
        <f t="shared" si="0"/>
        <v>4</v>
      </c>
      <c r="I14">
        <f t="shared" si="0"/>
        <v>5</v>
      </c>
      <c r="J14">
        <f t="shared" si="0"/>
        <v>6</v>
      </c>
    </row>
    <row r="15" spans="1:20" x14ac:dyDescent="0.25">
      <c r="A15" s="527">
        <v>512</v>
      </c>
      <c r="C15" s="53" t="s">
        <v>528</v>
      </c>
      <c r="D15" s="4">
        <v>4</v>
      </c>
      <c r="E15" s="292">
        <f t="shared" ref="E15:J15" si="1">D15-D21/D22</f>
        <v>3.5039923104053941</v>
      </c>
      <c r="F15" s="292">
        <f t="shared" si="1"/>
        <v>3.5523503857605871</v>
      </c>
      <c r="G15" s="292">
        <f t="shared" si="1"/>
        <v>3.554298275494463</v>
      </c>
      <c r="H15" s="292">
        <f t="shared" si="1"/>
        <v>3.5543541205051095</v>
      </c>
      <c r="I15" s="292">
        <f t="shared" si="1"/>
        <v>3.5543556957390874</v>
      </c>
      <c r="J15" s="6">
        <f t="shared" si="1"/>
        <v>3.5543557401512267</v>
      </c>
      <c r="L15" t="s">
        <v>262</v>
      </c>
      <c r="M15" s="45">
        <f>D6</f>
        <v>755.03826157268668</v>
      </c>
      <c r="Q15" t="e">
        <f t="array" aca="1" ref="Q15:R21" ca="1">WEIBULL_FIT(A4:A15,TRUE,20,4,D4,D3)</f>
        <v>#NAME?</v>
      </c>
      <c r="R15" s="45" t="e">
        <f ca="1"/>
        <v>#NAME?</v>
      </c>
      <c r="T15" t="e">
        <f ca="1">FTEXT(R15)</f>
        <v>#NAME?</v>
      </c>
    </row>
    <row r="16" spans="1:20" x14ac:dyDescent="0.25">
      <c r="A16" s="111"/>
      <c r="C16" t="s">
        <v>1504</v>
      </c>
      <c r="D16" s="166">
        <f>SUMPRODUCT($A$4:$A$15^D15)</f>
        <v>2680758836679</v>
      </c>
      <c r="E16" s="8">
        <f t="shared" ref="E16:J16" si="2">SUMPRODUCT($A$4:$A$15^E15)</f>
        <v>100457027233.55943</v>
      </c>
      <c r="F16" s="8">
        <f t="shared" si="2"/>
        <v>138317996207.44174</v>
      </c>
      <c r="G16" s="8">
        <f t="shared" si="2"/>
        <v>140111677076.18939</v>
      </c>
      <c r="H16" s="8">
        <f t="shared" si="2"/>
        <v>140163442824.24771</v>
      </c>
      <c r="I16" s="8">
        <f t="shared" si="2"/>
        <v>140164903270.99274</v>
      </c>
      <c r="J16" s="167">
        <f t="shared" si="2"/>
        <v>140164944447.04214</v>
      </c>
      <c r="L16" t="s">
        <v>398</v>
      </c>
      <c r="M16" s="163">
        <f>D7</f>
        <v>3.5543557401512267</v>
      </c>
      <c r="Q16" t="e">
        <f ca="1"/>
        <v>#NAME?</v>
      </c>
      <c r="R16" s="163" t="e">
        <f ca="1"/>
        <v>#NAME?</v>
      </c>
    </row>
    <row r="17" spans="1:20" x14ac:dyDescent="0.25">
      <c r="A17" s="111"/>
      <c r="C17" t="s">
        <v>755</v>
      </c>
      <c r="D17" s="166">
        <f>SUMPRODUCT($A$4:$A$15^D15,LN($A$4:$A$15))</f>
        <v>17770644652321.211</v>
      </c>
      <c r="E17" s="8">
        <f t="shared" ref="E17:J17" si="3">SUMPRODUCT($A$4:$A$15^E15,LN($A$4:$A$15))</f>
        <v>664306626273.48108</v>
      </c>
      <c r="F17" s="8">
        <f t="shared" si="3"/>
        <v>914908722999.02039</v>
      </c>
      <c r="G17" s="8">
        <f t="shared" si="3"/>
        <v>926782528128.83813</v>
      </c>
      <c r="H17" s="8">
        <f t="shared" si="3"/>
        <v>927125208629.09302</v>
      </c>
      <c r="I17" s="8">
        <f t="shared" si="3"/>
        <v>927134876541.00989</v>
      </c>
      <c r="J17" s="167">
        <f t="shared" si="3"/>
        <v>927135149119.5354</v>
      </c>
      <c r="L17" t="s">
        <v>1505</v>
      </c>
      <c r="M17" s="163" t="e">
        <f ca="1">(SUM(A4:A15)+D4*(D3+WEIBULL_MRL(D3,D6,D7)))/(D9+D4)</f>
        <v>#NAME?</v>
      </c>
      <c r="O17" s="545" t="e">
        <f ca="1">ABS(1-M18/M17)</f>
        <v>#NAME?</v>
      </c>
      <c r="Q17" t="e">
        <f ca="1"/>
        <v>#NAME?</v>
      </c>
      <c r="R17" s="163" t="e">
        <f ca="1"/>
        <v>#NAME?</v>
      </c>
    </row>
    <row r="18" spans="1:20" x14ac:dyDescent="0.25">
      <c r="C18" t="s">
        <v>1507</v>
      </c>
      <c r="D18" s="166">
        <f>SUMPRODUCT($A$4:$A$15^D15,LN($A$4:$A$15)^2)</f>
        <v>117881229527779.25</v>
      </c>
      <c r="E18" s="8">
        <f t="shared" ref="E18:J18" si="4">SUMPRODUCT($A$4:$A$15^E15,LN($A$4:$A$15)^2)</f>
        <v>4396489274978.1182</v>
      </c>
      <c r="F18" s="8">
        <f t="shared" si="4"/>
        <v>6056481616326.6523</v>
      </c>
      <c r="G18" s="8">
        <f t="shared" si="4"/>
        <v>6135142796841.1768</v>
      </c>
      <c r="H18" s="8">
        <f t="shared" si="4"/>
        <v>6137412985675.4932</v>
      </c>
      <c r="I18" s="8">
        <f t="shared" si="4"/>
        <v>6137477033640.4043</v>
      </c>
      <c r="J18" s="167">
        <f t="shared" si="4"/>
        <v>6137478839418.123</v>
      </c>
      <c r="L18" t="s">
        <v>1506</v>
      </c>
      <c r="M18" s="163">
        <f>M15*EXP(GAMMALN(1+1/M16))</f>
        <v>679.90192365980067</v>
      </c>
      <c r="Q18" t="e">
        <f ca="1"/>
        <v>#NAME?</v>
      </c>
      <c r="R18" s="163" t="e">
        <f ca="1"/>
        <v>#NAME?</v>
      </c>
    </row>
    <row r="19" spans="1:20" x14ac:dyDescent="0.25">
      <c r="C19" t="s">
        <v>250</v>
      </c>
      <c r="D19" s="166">
        <f t="shared" ref="D19:J19" si="5">$D$4*$D$3^D15*$D$11</f>
        <v>8926102408434.1602</v>
      </c>
      <c r="E19" s="8">
        <f t="shared" si="5"/>
        <v>305727752402.55841</v>
      </c>
      <c r="F19" s="8">
        <f t="shared" si="5"/>
        <v>424811578735.22711</v>
      </c>
      <c r="G19" s="8">
        <f t="shared" si="5"/>
        <v>430477923459.89862</v>
      </c>
      <c r="H19" s="8">
        <f t="shared" si="5"/>
        <v>430641484395.58368</v>
      </c>
      <c r="I19" s="8">
        <f t="shared" si="5"/>
        <v>430646098900.29108</v>
      </c>
      <c r="J19" s="167">
        <f t="shared" si="5"/>
        <v>430646229002.33057</v>
      </c>
      <c r="L19" t="s">
        <v>1508</v>
      </c>
      <c r="M19" s="163" t="e">
        <f ca="1">WEIBULL_CVAR(A4:A15,D6,D7,D3,D4)</f>
        <v>#NAME?</v>
      </c>
      <c r="O19" s="545" t="e">
        <f ca="1">ABS(1-M20/M19)</f>
        <v>#NAME?</v>
      </c>
      <c r="Q19" t="e">
        <f ca="1"/>
        <v>#NAME?</v>
      </c>
      <c r="R19" s="163" t="e">
        <f ca="1"/>
        <v>#NAME?</v>
      </c>
    </row>
    <row r="20" spans="1:20" x14ac:dyDescent="0.25">
      <c r="C20" t="s">
        <v>1596</v>
      </c>
      <c r="D20" s="166">
        <f t="shared" ref="D20:J20" si="6">$D$4*$D$3^D15+D16</f>
        <v>3992958836679</v>
      </c>
      <c r="E20" s="8">
        <f t="shared" si="6"/>
        <v>145401162797.53986</v>
      </c>
      <c r="F20" s="8">
        <f t="shared" si="6"/>
        <v>200768294009.27396</v>
      </c>
      <c r="G20" s="8">
        <f t="shared" si="6"/>
        <v>203394967511.0311</v>
      </c>
      <c r="H20" s="8">
        <f t="shared" si="6"/>
        <v>203470777870.05008</v>
      </c>
      <c r="I20" s="8">
        <f t="shared" si="6"/>
        <v>203472916681.52811</v>
      </c>
      <c r="J20" s="167">
        <f t="shared" si="6"/>
        <v>203472976983.49478</v>
      </c>
      <c r="L20" t="s">
        <v>1510</v>
      </c>
      <c r="M20" s="163">
        <f>M15^2*EXP(GAMMALN(1+2/M16))-M18^2</f>
        <v>45027.330057835206</v>
      </c>
      <c r="Q20" t="e">
        <f ca="1"/>
        <v>#NAME?</v>
      </c>
      <c r="R20" s="163" t="e">
        <f ca="1"/>
        <v>#NAME?</v>
      </c>
    </row>
    <row r="21" spans="1:20" x14ac:dyDescent="0.25">
      <c r="C21" t="s">
        <v>1509</v>
      </c>
      <c r="D21" s="166">
        <f t="shared" ref="D21:J21" si="7">1/D15+$D$10/$D$9-(D17+D19)/D20</f>
        <v>-4.4270447180839057E-2</v>
      </c>
      <c r="E21" s="8">
        <f t="shared" si="7"/>
        <v>5.639490731420338E-3</v>
      </c>
      <c r="F21" s="8">
        <f t="shared" si="7"/>
        <v>2.2180384214287585E-4</v>
      </c>
      <c r="G21" s="8">
        <f t="shared" si="7"/>
        <v>6.3529317122501539E-6</v>
      </c>
      <c r="H21" s="8">
        <f t="shared" si="7"/>
        <v>1.7919380379538552E-7</v>
      </c>
      <c r="I21" s="8">
        <f t="shared" si="7"/>
        <v>5.0521853367513359E-9</v>
      </c>
      <c r="J21" s="167">
        <f t="shared" si="7"/>
        <v>1.4243894952414848E-10</v>
      </c>
      <c r="L21" t="s">
        <v>1512</v>
      </c>
      <c r="M21" s="155">
        <f>D12</f>
        <v>-83.508958924313788</v>
      </c>
      <c r="Q21" t="e">
        <f ca="1"/>
        <v>#NAME?</v>
      </c>
      <c r="R21" s="155" t="e">
        <f ca="1"/>
        <v>#NAME?</v>
      </c>
    </row>
    <row r="22" spans="1:20" x14ac:dyDescent="0.25">
      <c r="C22" t="s">
        <v>1511</v>
      </c>
      <c r="D22" s="148">
        <f>-1/D15^2+((D19+D17)/D20)^2-(D18+D19*D11)/D20</f>
        <v>-8.9253550115365954E-2</v>
      </c>
      <c r="E22" s="276">
        <f t="shared" ref="E22:J22" si="8">-1/E15^2+(E17/E16)^2-E18/E16</f>
        <v>-0.11661942064480257</v>
      </c>
      <c r="F22" s="276">
        <f t="shared" si="8"/>
        <v>-0.11386878748086104</v>
      </c>
      <c r="G22" s="276">
        <f t="shared" si="8"/>
        <v>-0.11376005911185416</v>
      </c>
      <c r="H22" s="276">
        <f t="shared" si="8"/>
        <v>-0.11375694424560123</v>
      </c>
      <c r="I22" s="276">
        <f t="shared" si="8"/>
        <v>-0.11375685638566324</v>
      </c>
      <c r="J22" s="153">
        <f t="shared" si="8"/>
        <v>-0.11375685390856205</v>
      </c>
    </row>
    <row r="23" spans="1:20" x14ac:dyDescent="0.25">
      <c r="Q23" t="s">
        <v>1506</v>
      </c>
      <c r="R23" s="45" t="e">
        <f ca="1">WEIBULL_CMEAN(A4:A15,D6,D7,D4,D3)</f>
        <v>#NAME?</v>
      </c>
      <c r="T23" t="e">
        <f ca="1">FTEXT(R23)</f>
        <v>#NAME?</v>
      </c>
    </row>
    <row r="24" spans="1:20" x14ac:dyDescent="0.25">
      <c r="Q24" t="s">
        <v>1510</v>
      </c>
      <c r="R24" s="155" t="e">
        <f ca="1">WEIBULL_CVAR(A4:A15,D6,D7,D4,D3)</f>
        <v>#NAME?</v>
      </c>
      <c r="T24" t="e">
        <f ca="1">FTEXT(R24)</f>
        <v>#NAME?</v>
      </c>
    </row>
  </sheetData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H17"/>
  <sheetViews>
    <sheetView workbookViewId="0"/>
  </sheetViews>
  <sheetFormatPr defaultRowHeight="15" x14ac:dyDescent="0.25"/>
  <cols>
    <col min="3" max="3" width="3.42578125" customWidth="1"/>
    <col min="5" max="5" width="9.140625" customWidth="1"/>
    <col min="14" max="14" width="3.85546875" customWidth="1"/>
    <col min="16" max="16" width="9.140625" customWidth="1"/>
    <col min="17" max="17" width="3.28515625" customWidth="1"/>
    <col min="19" max="19" width="5.140625" customWidth="1"/>
    <col min="22" max="22" width="3.85546875" customWidth="1"/>
  </cols>
  <sheetData>
    <row r="1" spans="1:8" x14ac:dyDescent="0.25">
      <c r="A1" s="1" t="s">
        <v>1642</v>
      </c>
      <c r="B1" s="1"/>
    </row>
    <row r="3" spans="1:8" x14ac:dyDescent="0.25">
      <c r="A3" s="561" t="s">
        <v>28</v>
      </c>
      <c r="B3" s="561" t="s">
        <v>1500</v>
      </c>
      <c r="D3" t="s">
        <v>1610</v>
      </c>
      <c r="E3" s="45">
        <v>900</v>
      </c>
      <c r="H3" s="22"/>
    </row>
    <row r="4" spans="1:8" x14ac:dyDescent="0.25">
      <c r="A4" s="568">
        <v>509</v>
      </c>
      <c r="B4" s="568">
        <f>($E$7-1)*LN(A4)-(A4/$E$6)^$E$7</f>
        <v>15.673627103645734</v>
      </c>
      <c r="D4" t="s">
        <v>1611</v>
      </c>
      <c r="E4" s="155">
        <v>2</v>
      </c>
    </row>
    <row r="5" spans="1:8" x14ac:dyDescent="0.25">
      <c r="A5" s="568">
        <v>660</v>
      </c>
      <c r="B5" s="568">
        <f t="shared" ref="B5:B15" si="0">($E$7-1)*LN(A5)-(A5/$E$6)^$E$7</f>
        <v>15.963517151724933</v>
      </c>
    </row>
    <row r="6" spans="1:8" x14ac:dyDescent="0.25">
      <c r="A6" s="568">
        <v>386</v>
      </c>
      <c r="B6" s="568">
        <f t="shared" si="0"/>
        <v>15.121167672274627</v>
      </c>
      <c r="D6" s="53" t="s">
        <v>140</v>
      </c>
      <c r="E6" s="45">
        <v>755.03760796956328</v>
      </c>
    </row>
    <row r="7" spans="1:8" x14ac:dyDescent="0.25">
      <c r="A7" s="568">
        <v>753</v>
      </c>
      <c r="B7" s="568">
        <f t="shared" si="0"/>
        <v>15.929728162565606</v>
      </c>
      <c r="D7" s="53" t="s">
        <v>528</v>
      </c>
      <c r="E7" s="163">
        <v>3.5543482034731735</v>
      </c>
    </row>
    <row r="8" spans="1:8" x14ac:dyDescent="0.25">
      <c r="A8" s="568">
        <v>811</v>
      </c>
      <c r="B8" s="568">
        <f t="shared" si="0"/>
        <v>15.820359695302086</v>
      </c>
      <c r="D8" t="s">
        <v>105</v>
      </c>
      <c r="E8" s="163">
        <f>COUNT(A4:A15)</f>
        <v>12</v>
      </c>
    </row>
    <row r="9" spans="1:8" x14ac:dyDescent="0.25">
      <c r="A9" s="568">
        <v>613</v>
      </c>
      <c r="B9" s="568">
        <f t="shared" si="0"/>
        <v>15.917975812296623</v>
      </c>
      <c r="D9" t="s">
        <v>696</v>
      </c>
      <c r="E9" s="163">
        <f>SUMPRODUCT(LN(A4:A15))</f>
        <v>76.700226540390631</v>
      </c>
    </row>
    <row r="10" spans="1:8" x14ac:dyDescent="0.25">
      <c r="A10" s="568">
        <v>848</v>
      </c>
      <c r="B10" s="568">
        <f t="shared" si="0"/>
        <v>15.712763825057095</v>
      </c>
      <c r="D10" t="s">
        <v>1612</v>
      </c>
      <c r="E10" s="163">
        <f>LN(E3)</f>
        <v>6.8023947633243109</v>
      </c>
    </row>
    <row r="11" spans="1:8" x14ac:dyDescent="0.25">
      <c r="A11" s="568">
        <v>725</v>
      </c>
      <c r="B11" s="568">
        <f t="shared" si="0"/>
        <v>15.957740773123868</v>
      </c>
      <c r="D11" t="s">
        <v>1501</v>
      </c>
      <c r="E11" s="155">
        <f>-E4*(E3/E6)^E7+E8*(LN(E7)-E7*LN(E6))+B16</f>
        <v>-83.508958924396097</v>
      </c>
    </row>
    <row r="12" spans="1:8" x14ac:dyDescent="0.25">
      <c r="A12" s="568">
        <v>315</v>
      </c>
      <c r="B12" s="568">
        <f t="shared" si="0"/>
        <v>14.649347265817919</v>
      </c>
    </row>
    <row r="13" spans="1:8" x14ac:dyDescent="0.25">
      <c r="A13" s="568">
        <v>872</v>
      </c>
      <c r="B13" s="568">
        <f t="shared" si="0"/>
        <v>15.626489115433294</v>
      </c>
    </row>
    <row r="14" spans="1:8" x14ac:dyDescent="0.25">
      <c r="A14" s="568">
        <v>487</v>
      </c>
      <c r="B14" s="568">
        <f t="shared" si="0"/>
        <v>15.596549594649014</v>
      </c>
    </row>
    <row r="15" spans="1:8" x14ac:dyDescent="0.25">
      <c r="A15" s="527">
        <v>512</v>
      </c>
      <c r="B15" s="527">
        <f t="shared" si="0"/>
        <v>15.683441096608489</v>
      </c>
    </row>
    <row r="16" spans="1:8" x14ac:dyDescent="0.25">
      <c r="A16" s="111"/>
      <c r="B16" s="111">
        <f>SUM(B4:B15)</f>
        <v>187.65270726849928</v>
      </c>
    </row>
    <row r="17" spans="1:2" x14ac:dyDescent="0.25">
      <c r="A17" s="111"/>
      <c r="B17" s="111"/>
    </row>
  </sheetData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26"/>
  <sheetViews>
    <sheetView workbookViewId="0"/>
  </sheetViews>
  <sheetFormatPr defaultRowHeight="15" x14ac:dyDescent="0.25"/>
  <cols>
    <col min="2" max="2" width="4.85546875" customWidth="1"/>
    <col min="3" max="3" width="9.7109375" customWidth="1"/>
    <col min="5" max="5" width="2.7109375" customWidth="1"/>
    <col min="6" max="6" width="81.28515625" customWidth="1"/>
    <col min="10" max="10" width="4.42578125" customWidth="1"/>
    <col min="11" max="11" width="71.42578125" customWidth="1"/>
  </cols>
  <sheetData>
    <row r="1" spans="1:13" x14ac:dyDescent="0.25">
      <c r="A1" s="539" t="s">
        <v>1558</v>
      </c>
    </row>
    <row r="2" spans="1:13" x14ac:dyDescent="0.25">
      <c r="A2" s="118"/>
    </row>
    <row r="3" spans="1:13" x14ac:dyDescent="0.25">
      <c r="A3" s="540" t="s">
        <v>28</v>
      </c>
    </row>
    <row r="4" spans="1:13" x14ac:dyDescent="0.25">
      <c r="A4" s="118">
        <v>1.2</v>
      </c>
      <c r="C4" t="s">
        <v>105</v>
      </c>
      <c r="D4" s="486">
        <f>COUNT(A4:A18)</f>
        <v>15</v>
      </c>
      <c r="F4" t="e">
        <f ca="1">FTEXT(D4)</f>
        <v>#NAME?</v>
      </c>
    </row>
    <row r="5" spans="1:13" x14ac:dyDescent="0.25">
      <c r="A5" s="118">
        <v>1.6</v>
      </c>
      <c r="C5" t="s">
        <v>1559</v>
      </c>
      <c r="D5" s="556">
        <f>AVERAGE(A4:A18)</f>
        <v>3.3400000000000003</v>
      </c>
      <c r="F5" t="e">
        <f ca="1">FTEXT(D5)</f>
        <v>#NAME?</v>
      </c>
    </row>
    <row r="6" spans="1:13" x14ac:dyDescent="0.25">
      <c r="A6" s="118">
        <v>1.7</v>
      </c>
      <c r="C6" t="s">
        <v>1561</v>
      </c>
      <c r="D6" s="163">
        <f>LN(D5)</f>
        <v>1.205970806988609</v>
      </c>
      <c r="F6" t="e">
        <f ca="1">FTEXT(D6)</f>
        <v>#NAME?</v>
      </c>
      <c r="M6" s="544"/>
    </row>
    <row r="7" spans="1:13" x14ac:dyDescent="0.25">
      <c r="A7" s="118">
        <v>1.8</v>
      </c>
      <c r="C7" t="s">
        <v>1560</v>
      </c>
      <c r="D7" s="155">
        <f t="array" ref="D7">AVERAGE(LN(A4:A18))</f>
        <v>1.052932000292734</v>
      </c>
      <c r="F7" t="e">
        <f ca="1">FTEXT(D7)</f>
        <v>#NAME?</v>
      </c>
    </row>
    <row r="8" spans="1:13" x14ac:dyDescent="0.25">
      <c r="A8" s="118">
        <v>1.9</v>
      </c>
    </row>
    <row r="9" spans="1:13" x14ac:dyDescent="0.25">
      <c r="A9" s="118">
        <v>2</v>
      </c>
      <c r="C9" t="s">
        <v>262</v>
      </c>
      <c r="D9" s="486" t="e">
        <f ca="1">D17</f>
        <v>#NAME?</v>
      </c>
      <c r="F9" t="e">
        <f ca="1">FTEXT(D9)</f>
        <v>#NAME?</v>
      </c>
    </row>
    <row r="10" spans="1:13" x14ac:dyDescent="0.25">
      <c r="A10" s="118">
        <v>2.2000000000000002</v>
      </c>
      <c r="C10" t="s">
        <v>398</v>
      </c>
      <c r="D10" s="163" t="e">
        <f ca="1">D5/D9</f>
        <v>#NAME?</v>
      </c>
      <c r="F10" t="e">
        <f ca="1">FTEXT(D10)</f>
        <v>#NAME?</v>
      </c>
    </row>
    <row r="11" spans="1:13" x14ac:dyDescent="0.25">
      <c r="A11" s="118">
        <v>2.6</v>
      </c>
      <c r="C11" t="s">
        <v>1512</v>
      </c>
      <c r="D11" s="155" t="e">
        <f ca="1">D4*((D9-1)*D7-D5/D10-D9*LN(D10)-GAMMALN(D9))</f>
        <v>#NAME?</v>
      </c>
      <c r="F11" t="e">
        <f ca="1">FTEXT(D11)</f>
        <v>#NAME?</v>
      </c>
    </row>
    <row r="12" spans="1:13" x14ac:dyDescent="0.25">
      <c r="A12" s="118">
        <v>3</v>
      </c>
    </row>
    <row r="13" spans="1:13" x14ac:dyDescent="0.25">
      <c r="A13" s="118">
        <v>3.5</v>
      </c>
      <c r="C13" s="97" t="s">
        <v>1517</v>
      </c>
      <c r="D13" s="552" t="s">
        <v>262</v>
      </c>
    </row>
    <row r="14" spans="1:13" x14ac:dyDescent="0.25">
      <c r="A14" s="555">
        <v>4</v>
      </c>
      <c r="C14" s="97">
        <v>0</v>
      </c>
      <c r="D14" s="486">
        <f>0.5/(D6-D7)</f>
        <v>3.2671451822910549</v>
      </c>
      <c r="F14" t="e">
        <f ca="1">FTEXT(D14)</f>
        <v>#NAME?</v>
      </c>
    </row>
    <row r="15" spans="1:13" x14ac:dyDescent="0.25">
      <c r="A15" s="555">
        <v>4.8</v>
      </c>
      <c r="C15" s="97">
        <f>C14+1</f>
        <v>1</v>
      </c>
      <c r="D15" s="163" t="e">
        <f ca="1">1/(1/D14+($D$7-$D$6+LN(D14)-POLYGAMMA(D14))/(D14^2*(1/D14-POLYGAMMA(D14,1))))</f>
        <v>#NAME?</v>
      </c>
      <c r="F15" t="e">
        <f ca="1">FTEXT(D15)</f>
        <v>#NAME?</v>
      </c>
    </row>
    <row r="16" spans="1:13" x14ac:dyDescent="0.25">
      <c r="A16" s="555">
        <v>5.6</v>
      </c>
      <c r="C16" s="97">
        <f>C15+1</f>
        <v>2</v>
      </c>
      <c r="D16" s="163" t="e">
        <f ca="1">1/(1/D15+($D$7-$D$6+LN(D15)-POLYGAMMA(D15))/(D15^2*(1/D15-POLYGAMMA(D15,1))))</f>
        <v>#NAME?</v>
      </c>
    </row>
    <row r="17" spans="1:6" x14ac:dyDescent="0.25">
      <c r="A17" s="555">
        <v>6.6</v>
      </c>
      <c r="C17" s="97">
        <f>C16+1</f>
        <v>3</v>
      </c>
      <c r="D17" s="155" t="e">
        <f ca="1">1/(1/D16+($D$7-$D$6+LN(D16)-POLYGAMMA(D16))/(D16^2*(1/D16-POLYGAMMA(D16,1))))</f>
        <v>#NAME?</v>
      </c>
    </row>
    <row r="18" spans="1:6" x14ac:dyDescent="0.25">
      <c r="A18" s="525">
        <v>7.6</v>
      </c>
    </row>
    <row r="20" spans="1:6" x14ac:dyDescent="0.25">
      <c r="C20" t="e">
        <f t="array" aca="1" ref="C20:D26" ca="1">GAMMA_FIT(A4:A18,TRUE)</f>
        <v>#NAME?</v>
      </c>
      <c r="D20" s="486" t="e">
        <f ca="1"/>
        <v>#NAME?</v>
      </c>
      <c r="F20" t="e">
        <f ca="1">FTEXT(D20)</f>
        <v>#NAME?</v>
      </c>
    </row>
    <row r="21" spans="1:6" x14ac:dyDescent="0.25">
      <c r="C21" t="e">
        <f ca="1"/>
        <v>#NAME?</v>
      </c>
      <c r="D21" s="163" t="e">
        <f ca="1"/>
        <v>#NAME?</v>
      </c>
    </row>
    <row r="22" spans="1:6" x14ac:dyDescent="0.25">
      <c r="C22" t="e">
        <f ca="1"/>
        <v>#NAME?</v>
      </c>
      <c r="D22" s="163" t="e">
        <f ca="1"/>
        <v>#NAME?</v>
      </c>
    </row>
    <row r="23" spans="1:6" x14ac:dyDescent="0.25">
      <c r="C23" t="e">
        <f ca="1"/>
        <v>#NAME?</v>
      </c>
      <c r="D23" s="163" t="e">
        <f ca="1"/>
        <v>#NAME?</v>
      </c>
    </row>
    <row r="24" spans="1:6" x14ac:dyDescent="0.25">
      <c r="C24" t="e">
        <f ca="1"/>
        <v>#NAME?</v>
      </c>
      <c r="D24" s="163" t="e">
        <f ca="1"/>
        <v>#NAME?</v>
      </c>
    </row>
    <row r="25" spans="1:6" x14ac:dyDescent="0.25">
      <c r="C25" t="e">
        <f ca="1"/>
        <v>#NAME?</v>
      </c>
      <c r="D25" s="163" t="e">
        <f ca="1"/>
        <v>#NAME?</v>
      </c>
    </row>
    <row r="26" spans="1:6" x14ac:dyDescent="0.25">
      <c r="C26" t="e">
        <f ca="1"/>
        <v>#NAME?</v>
      </c>
      <c r="D26" s="155" t="e">
        <f ca="1"/>
        <v>#NAME?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8"/>
  <dimension ref="A1:E4"/>
  <sheetViews>
    <sheetView workbookViewId="0"/>
  </sheetViews>
  <sheetFormatPr defaultRowHeight="15" x14ac:dyDescent="0.25"/>
  <cols>
    <col min="1" max="1" width="6.5703125" customWidth="1"/>
  </cols>
  <sheetData>
    <row r="1" spans="1:5" x14ac:dyDescent="0.25">
      <c r="A1" s="1" t="s">
        <v>997</v>
      </c>
    </row>
    <row r="3" spans="1:5" x14ac:dyDescent="0.25">
      <c r="A3" t="s">
        <v>999</v>
      </c>
      <c r="B3" s="360">
        <f>B4^2</f>
        <v>10.999991953216556</v>
      </c>
      <c r="D3" t="s">
        <v>999</v>
      </c>
      <c r="E3" s="360">
        <f>E4^2</f>
        <v>11.000015248414535</v>
      </c>
    </row>
    <row r="4" spans="1:5" x14ac:dyDescent="0.25">
      <c r="A4" t="s">
        <v>28</v>
      </c>
      <c r="B4" s="362">
        <v>3.3166235772569301</v>
      </c>
      <c r="D4" t="s">
        <v>28</v>
      </c>
      <c r="E4" s="362">
        <v>-3.3166270891395877</v>
      </c>
    </row>
  </sheetData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Y22"/>
  <sheetViews>
    <sheetView workbookViewId="0">
      <selection sqref="A1:A1048576"/>
    </sheetView>
  </sheetViews>
  <sheetFormatPr defaultRowHeight="15" x14ac:dyDescent="0.25"/>
  <cols>
    <col min="5" max="5" width="12" customWidth="1"/>
  </cols>
  <sheetData>
    <row r="1" spans="1:25" x14ac:dyDescent="0.25">
      <c r="A1" s="1" t="s">
        <v>1518</v>
      </c>
      <c r="B1" s="1"/>
      <c r="K1" t="s">
        <v>1519</v>
      </c>
      <c r="N1" t="s">
        <v>1520</v>
      </c>
      <c r="Q1" t="s">
        <v>1521</v>
      </c>
    </row>
    <row r="3" spans="1:25" x14ac:dyDescent="0.25">
      <c r="A3" s="540" t="s">
        <v>28</v>
      </c>
      <c r="B3" s="540" t="s">
        <v>1522</v>
      </c>
      <c r="C3" s="540" t="s">
        <v>1523</v>
      </c>
      <c r="E3" t="s">
        <v>105</v>
      </c>
      <c r="F3" s="486">
        <f>COUNT(A4:A21)</f>
        <v>18</v>
      </c>
      <c r="H3" s="53" t="s">
        <v>140</v>
      </c>
      <c r="I3" s="486" t="e">
        <f ca="1">U13</f>
        <v>#NAME?</v>
      </c>
      <c r="J3" s="544"/>
      <c r="K3" s="53" t="s">
        <v>140</v>
      </c>
      <c r="L3" s="486">
        <v>2.6865278797305154</v>
      </c>
      <c r="N3" t="e">
        <f t="array" aca="1" ref="N3:O5" ca="1">BETA_FITM(A4:A21,TRUE)</f>
        <v>#NAME?</v>
      </c>
      <c r="O3" s="486" t="e">
        <f ca="1"/>
        <v>#NAME?</v>
      </c>
      <c r="Q3" t="e">
        <f t="array" aca="1" ref="Q3:R9" ca="1">BETA_FIT(A4:A21,TRUE,,2,3)</f>
        <v>#NAME?</v>
      </c>
      <c r="R3" s="486" t="e">
        <f ca="1"/>
        <v>#NAME?</v>
      </c>
    </row>
    <row r="4" spans="1:25" x14ac:dyDescent="0.25">
      <c r="A4" s="538">
        <v>0.28999999999999998</v>
      </c>
      <c r="B4" s="538">
        <f t="shared" ref="B4:B21" si="0">LN(A4)</f>
        <v>-1.2378743560016174</v>
      </c>
      <c r="C4">
        <f t="shared" ref="C4:C21" si="1">LN(1-A4)</f>
        <v>-0.34249030894677601</v>
      </c>
      <c r="E4" t="s">
        <v>1524</v>
      </c>
      <c r="F4" s="163">
        <f t="array" ref="F4">AVERAGE(LN(A4:A21))</f>
        <v>-1.0896609146605676</v>
      </c>
      <c r="H4" s="53" t="s">
        <v>528</v>
      </c>
      <c r="I4" s="163" t="e">
        <f ca="1">V13</f>
        <v>#NAME?</v>
      </c>
      <c r="K4" s="53" t="s">
        <v>528</v>
      </c>
      <c r="L4" s="163">
        <v>4.3632706145622517</v>
      </c>
      <c r="N4" t="e">
        <f ca="1"/>
        <v>#NAME?</v>
      </c>
      <c r="O4" s="163" t="e">
        <f ca="1"/>
        <v>#NAME?</v>
      </c>
      <c r="Q4" t="e">
        <f ca="1"/>
        <v>#NAME?</v>
      </c>
      <c r="R4" s="163" t="e">
        <f ca="1"/>
        <v>#NAME?</v>
      </c>
    </row>
    <row r="5" spans="1:25" x14ac:dyDescent="0.25">
      <c r="A5" s="538">
        <v>0.31</v>
      </c>
      <c r="B5" s="538">
        <f t="shared" si="0"/>
        <v>-1.1711829815029451</v>
      </c>
      <c r="C5">
        <f t="shared" si="1"/>
        <v>-0.37106368139083207</v>
      </c>
      <c r="E5" t="s">
        <v>1525</v>
      </c>
      <c r="F5" s="155">
        <f t="array" ref="F5">AVERAGE(LN(1-A4:A21))</f>
        <v>-0.52612698665124502</v>
      </c>
      <c r="H5" t="s">
        <v>1501</v>
      </c>
      <c r="I5" s="155" t="e">
        <f ca="1">F3*(GAMMALN(I3+I4)-GAMMALN(I3)-GAMMALN(I4)+(I3-1)*F4+(I4-1)*F5)</f>
        <v>#NAME?</v>
      </c>
      <c r="K5" t="s">
        <v>1501</v>
      </c>
      <c r="L5" s="155">
        <f>F3*(GAMMALN(L3+L4)-GAMMALN(L3)-GAMMALN(L4)+(L3-1)*F4+(L4-1)*F5)</f>
        <v>6.7524556551636534</v>
      </c>
      <c r="N5" t="e">
        <f ca="1"/>
        <v>#NAME?</v>
      </c>
      <c r="O5" s="155" t="e">
        <f ca="1"/>
        <v>#NAME?</v>
      </c>
      <c r="Q5" t="e">
        <f ca="1"/>
        <v>#NAME?</v>
      </c>
      <c r="R5" s="163" t="e">
        <f ca="1"/>
        <v>#NAME?</v>
      </c>
    </row>
    <row r="6" spans="1:25" x14ac:dyDescent="0.25">
      <c r="A6" s="538">
        <v>0.65</v>
      </c>
      <c r="B6" s="538">
        <f t="shared" si="0"/>
        <v>-0.43078291609245423</v>
      </c>
      <c r="C6">
        <f t="shared" si="1"/>
        <v>-1.0498221244986778</v>
      </c>
      <c r="Q6" t="e">
        <f ca="1"/>
        <v>#NAME?</v>
      </c>
      <c r="R6" s="163" t="e">
        <f ca="1"/>
        <v>#NAME?</v>
      </c>
    </row>
    <row r="7" spans="1:25" x14ac:dyDescent="0.25">
      <c r="A7" s="538">
        <v>0.05</v>
      </c>
      <c r="B7" s="538">
        <f t="shared" si="0"/>
        <v>-2.9957322735539909</v>
      </c>
      <c r="C7">
        <f t="shared" si="1"/>
        <v>-5.1293294387550578E-2</v>
      </c>
      <c r="Q7" t="e">
        <f ca="1"/>
        <v>#NAME?</v>
      </c>
      <c r="R7" s="163" t="e">
        <f ca="1"/>
        <v>#NAME?</v>
      </c>
    </row>
    <row r="8" spans="1:25" x14ac:dyDescent="0.25">
      <c r="A8" s="538">
        <v>0.45</v>
      </c>
      <c r="B8" s="538">
        <f t="shared" si="0"/>
        <v>-0.79850769621777162</v>
      </c>
      <c r="C8">
        <f t="shared" si="1"/>
        <v>-0.59783700075562041</v>
      </c>
      <c r="Q8" t="e">
        <f ca="1"/>
        <v>#NAME?</v>
      </c>
      <c r="R8" s="163" t="e">
        <f ca="1"/>
        <v>#NAME?</v>
      </c>
    </row>
    <row r="9" spans="1:25" x14ac:dyDescent="0.25">
      <c r="A9" s="538">
        <v>0.22</v>
      </c>
      <c r="B9" s="538">
        <f t="shared" si="0"/>
        <v>-1.5141277326297755</v>
      </c>
      <c r="C9">
        <f t="shared" si="1"/>
        <v>-0.24846135929849961</v>
      </c>
      <c r="Q9" t="e">
        <f ca="1"/>
        <v>#NAME?</v>
      </c>
      <c r="R9" s="155" t="e">
        <f ca="1"/>
        <v>#NAME?</v>
      </c>
    </row>
    <row r="10" spans="1:25" x14ac:dyDescent="0.25">
      <c r="A10" s="538">
        <v>0.39</v>
      </c>
      <c r="B10" s="538">
        <f t="shared" si="0"/>
        <v>-0.94160853985844495</v>
      </c>
      <c r="C10">
        <f t="shared" si="1"/>
        <v>-0.49429632181478012</v>
      </c>
    </row>
    <row r="11" spans="1:25" x14ac:dyDescent="0.25">
      <c r="A11" s="538">
        <v>0.41</v>
      </c>
      <c r="B11" s="538">
        <f t="shared" si="0"/>
        <v>-0.89159811928378363</v>
      </c>
      <c r="C11">
        <f t="shared" si="1"/>
        <v>-0.52763274208237176</v>
      </c>
      <c r="E11" t="s">
        <v>1517</v>
      </c>
      <c r="G11" s="205">
        <v>0</v>
      </c>
      <c r="J11" s="205">
        <f>G11+1</f>
        <v>1</v>
      </c>
      <c r="M11" s="205">
        <f>J11+1</f>
        <v>2</v>
      </c>
      <c r="P11" s="205">
        <f>M11+1</f>
        <v>3</v>
      </c>
      <c r="S11" s="205">
        <f>P11+1</f>
        <v>4</v>
      </c>
      <c r="V11" s="205">
        <f>S11+1</f>
        <v>5</v>
      </c>
      <c r="Y11" s="205">
        <f>V11+1</f>
        <v>6</v>
      </c>
    </row>
    <row r="12" spans="1:25" x14ac:dyDescent="0.25">
      <c r="A12" s="538">
        <v>0.47</v>
      </c>
      <c r="B12" s="538">
        <f t="shared" si="0"/>
        <v>-0.75502258427803282</v>
      </c>
      <c r="C12">
        <f t="shared" si="1"/>
        <v>-0.6348782724359695</v>
      </c>
    </row>
    <row r="13" spans="1:25" x14ac:dyDescent="0.25">
      <c r="A13" s="538">
        <v>0.27</v>
      </c>
      <c r="B13" s="538">
        <f t="shared" si="0"/>
        <v>-1.3093333199837622</v>
      </c>
      <c r="C13">
        <f t="shared" si="1"/>
        <v>-0.31471074483970024</v>
      </c>
      <c r="E13" s="53" t="s">
        <v>1503</v>
      </c>
      <c r="F13" s="229">
        <v>2</v>
      </c>
      <c r="G13" s="230">
        <v>3</v>
      </c>
      <c r="I13" s="229" t="e">
        <f t="array" aca="1" ref="I13:J13" ca="1">F13:G13-MMULT(F15:G15,MINVERSE(F17:G18))</f>
        <v>#NAME?</v>
      </c>
      <c r="J13" s="230" t="e">
        <f ca="1"/>
        <v>#NAME?</v>
      </c>
      <c r="L13" s="229" t="e">
        <f t="array" aca="1" ref="L13:M13" ca="1">I13:J13-MMULT(I15:J15,MINVERSE(I17:J18))</f>
        <v>#NAME?</v>
      </c>
      <c r="M13" s="230" t="e">
        <f ca="1"/>
        <v>#NAME?</v>
      </c>
      <c r="O13" s="229" t="e">
        <f t="array" aca="1" ref="O13:P13" ca="1">L13:M13-MMULT(L15:M15,MINVERSE(L17:M18))</f>
        <v>#NAME?</v>
      </c>
      <c r="P13" s="230" t="e">
        <f ca="1"/>
        <v>#NAME?</v>
      </c>
      <c r="R13" s="229" t="e">
        <f t="array" aca="1" ref="R13:S13" ca="1">O13:P13-MMULT(O15:P15,MINVERSE(O17:P18))</f>
        <v>#NAME?</v>
      </c>
      <c r="S13" s="230" t="e">
        <f ca="1"/>
        <v>#NAME?</v>
      </c>
      <c r="U13" s="229" t="e">
        <f t="array" aca="1" ref="U13:V13" ca="1">R13:S13-MMULT(R15:S15,MINVERSE(R17:S18))</f>
        <v>#NAME?</v>
      </c>
      <c r="V13" s="230" t="e">
        <f ca="1"/>
        <v>#NAME?</v>
      </c>
      <c r="X13" s="229" t="e">
        <f t="array" aca="1" ref="X13:Y13" ca="1">U13:V13-MMULT(U15:V15,MINVERSE(U17:V18))</f>
        <v>#NAME?</v>
      </c>
      <c r="Y13" s="230" t="e">
        <f ca="1"/>
        <v>#NAME?</v>
      </c>
    </row>
    <row r="14" spans="1:25" x14ac:dyDescent="0.25">
      <c r="A14" s="538">
        <v>0.36</v>
      </c>
      <c r="B14" s="538">
        <f t="shared" si="0"/>
        <v>-1.0216512475319814</v>
      </c>
      <c r="C14">
        <f t="shared" si="1"/>
        <v>-0.44628710262841947</v>
      </c>
    </row>
    <row r="15" spans="1:25" x14ac:dyDescent="0.25">
      <c r="A15" s="538">
        <v>0.53</v>
      </c>
      <c r="B15" s="538">
        <f t="shared" si="0"/>
        <v>-0.6348782724359695</v>
      </c>
      <c r="C15">
        <f t="shared" si="1"/>
        <v>-0.75502258427803282</v>
      </c>
      <c r="E15" s="53" t="s">
        <v>1526</v>
      </c>
      <c r="F15" s="229" t="e">
        <f ca="1">POLYGAMMA(F13+G13)-POLYGAMMA(F13)+$F$4</f>
        <v>#NAME?</v>
      </c>
      <c r="G15" s="230" t="e">
        <f ca="1">POLYGAMMA(F13+G13)-POLYGAMMA(G13)+$F$5</f>
        <v>#NAME?</v>
      </c>
      <c r="I15" s="229" t="e">
        <f ca="1">POLYGAMMA(I13+J13)-POLYGAMMA(I13)+$F$4</f>
        <v>#NAME?</v>
      </c>
      <c r="J15" s="230" t="e">
        <f ca="1">POLYGAMMA(I13+J13)-POLYGAMMA(J13)+$F$5</f>
        <v>#NAME?</v>
      </c>
      <c r="L15" s="229" t="e">
        <f ca="1">POLYGAMMA(L13+M13)-POLYGAMMA(L13)+$F$4</f>
        <v>#NAME?</v>
      </c>
      <c r="M15" s="230" t="e">
        <f ca="1">POLYGAMMA(L13+M13)-POLYGAMMA(M13)+$F$5</f>
        <v>#NAME?</v>
      </c>
      <c r="O15" s="229" t="e">
        <f ca="1">POLYGAMMA(O13+P13)-POLYGAMMA(O13)+$F$4</f>
        <v>#NAME?</v>
      </c>
      <c r="P15" s="230" t="e">
        <f ca="1">POLYGAMMA(O13+P13)-POLYGAMMA(P13)+$F$5</f>
        <v>#NAME?</v>
      </c>
      <c r="R15" s="229" t="e">
        <f ca="1">POLYGAMMA(R13+S13)-POLYGAMMA(R13)+$F$4</f>
        <v>#NAME?</v>
      </c>
      <c r="S15" s="230" t="e">
        <f ca="1">POLYGAMMA(R13+S13)-POLYGAMMA(S13)+$F$5</f>
        <v>#NAME?</v>
      </c>
      <c r="U15" s="229" t="e">
        <f ca="1">POLYGAMMA(U13+V13)-POLYGAMMA(U13)+$F$4</f>
        <v>#NAME?</v>
      </c>
      <c r="V15" s="230" t="e">
        <f ca="1">POLYGAMMA(U13+V13)-POLYGAMMA(V13)+$F$5</f>
        <v>#NAME?</v>
      </c>
      <c r="X15" s="229" t="e">
        <f ca="1">POLYGAMMA(X13+Y13)-POLYGAMMA(X13)+$F$4</f>
        <v>#NAME?</v>
      </c>
      <c r="Y15" s="230" t="e">
        <f ca="1">POLYGAMMA(X13+Y13)-POLYGAMMA(Y13)+$F$5</f>
        <v>#NAME?</v>
      </c>
    </row>
    <row r="16" spans="1:25" x14ac:dyDescent="0.25">
      <c r="A16" s="538">
        <v>0.14000000000000001</v>
      </c>
      <c r="B16" s="538">
        <f t="shared" si="0"/>
        <v>-1.9661128563728327</v>
      </c>
      <c r="C16">
        <f t="shared" si="1"/>
        <v>-0.15082288973458366</v>
      </c>
    </row>
    <row r="17" spans="1:25" x14ac:dyDescent="0.25">
      <c r="A17" s="538">
        <v>0.55000000000000004</v>
      </c>
      <c r="B17" s="538">
        <f t="shared" si="0"/>
        <v>-0.59783700075562041</v>
      </c>
      <c r="C17">
        <f t="shared" si="1"/>
        <v>-0.79850769621777173</v>
      </c>
      <c r="E17" t="s">
        <v>420</v>
      </c>
      <c r="F17" s="316" t="e">
        <f ca="1">POLYGAMMA(F13+G13,1)-POLYGAMMA(F13,1)</f>
        <v>#NAME?</v>
      </c>
      <c r="G17" s="317" t="e">
        <f ca="1">POLYGAMMA(F13+G13,1)</f>
        <v>#NAME?</v>
      </c>
      <c r="I17" s="316" t="e">
        <f ca="1">POLYGAMMA(I13+J13,1)-POLYGAMMA(I13,1)</f>
        <v>#NAME?</v>
      </c>
      <c r="J17" s="317" t="e">
        <f ca="1">POLYGAMMA(I13+J13,1)</f>
        <v>#NAME?</v>
      </c>
      <c r="L17" s="316" t="e">
        <f ca="1">POLYGAMMA(L13+M13,1)-POLYGAMMA(L13,1)</f>
        <v>#NAME?</v>
      </c>
      <c r="M17" s="317" t="e">
        <f ca="1">POLYGAMMA(L13+M13,1)</f>
        <v>#NAME?</v>
      </c>
      <c r="O17" s="316" t="e">
        <f ca="1">POLYGAMMA(O13+P13,1)-POLYGAMMA(O13,1)</f>
        <v>#NAME?</v>
      </c>
      <c r="P17" s="317" t="e">
        <f ca="1">POLYGAMMA(O13+P13,1)</f>
        <v>#NAME?</v>
      </c>
      <c r="R17" s="316" t="e">
        <f ca="1">POLYGAMMA(R13+S13,1)-POLYGAMMA(R13,1)</f>
        <v>#NAME?</v>
      </c>
      <c r="S17" s="317" t="e">
        <f ca="1">POLYGAMMA(R13+S13,1)</f>
        <v>#NAME?</v>
      </c>
      <c r="U17" s="316" t="e">
        <f ca="1">POLYGAMMA(U13+V13,1)-POLYGAMMA(U13,1)</f>
        <v>#NAME?</v>
      </c>
      <c r="V17" s="317" t="e">
        <f ca="1">POLYGAMMA(U13+V13,1)</f>
        <v>#NAME?</v>
      </c>
      <c r="X17" s="316" t="e">
        <f ca="1">POLYGAMMA(X13+Y13,1)-POLYGAMMA(X13,1)</f>
        <v>#NAME?</v>
      </c>
      <c r="Y17" s="317" t="e">
        <f ca="1">POLYGAMMA(X13+Y13,1)</f>
        <v>#NAME?</v>
      </c>
    </row>
    <row r="18" spans="1:25" x14ac:dyDescent="0.25">
      <c r="A18" s="538">
        <v>0.31</v>
      </c>
      <c r="B18" s="538">
        <f t="shared" si="0"/>
        <v>-1.1711829815029451</v>
      </c>
      <c r="C18">
        <f t="shared" si="1"/>
        <v>-0.37106368139083207</v>
      </c>
      <c r="F18" s="148" t="e">
        <f ca="1">G17</f>
        <v>#NAME?</v>
      </c>
      <c r="G18" s="153" t="e">
        <f ca="1">POLYGAMMA(F13+G13,1)-POLYGAMMA(G13,1)</f>
        <v>#NAME?</v>
      </c>
      <c r="I18" s="148" t="e">
        <f ca="1">J17</f>
        <v>#NAME?</v>
      </c>
      <c r="J18" s="153" t="e">
        <f ca="1">POLYGAMMA(I13+J13,1)-POLYGAMMA(J13,1)</f>
        <v>#NAME?</v>
      </c>
      <c r="L18" s="148" t="e">
        <f ca="1">M17</f>
        <v>#NAME?</v>
      </c>
      <c r="M18" s="153" t="e">
        <f ca="1">POLYGAMMA(L13+M13,1)-POLYGAMMA(M13,1)</f>
        <v>#NAME?</v>
      </c>
      <c r="O18" s="148" t="e">
        <f ca="1">P17</f>
        <v>#NAME?</v>
      </c>
      <c r="P18" s="153" t="e">
        <f ca="1">POLYGAMMA(O13+P13,1)-POLYGAMMA(P13,1)</f>
        <v>#NAME?</v>
      </c>
      <c r="R18" s="148" t="e">
        <f ca="1">S17</f>
        <v>#NAME?</v>
      </c>
      <c r="S18" s="153" t="e">
        <f ca="1">POLYGAMMA(R13+S13,1)-POLYGAMMA(S13,1)</f>
        <v>#NAME?</v>
      </c>
      <c r="U18" s="148" t="e">
        <f ca="1">V17</f>
        <v>#NAME?</v>
      </c>
      <c r="V18" s="153" t="e">
        <f ca="1">POLYGAMMA(U13+V13,1)-POLYGAMMA(V13,1)</f>
        <v>#NAME?</v>
      </c>
      <c r="X18" s="148" t="e">
        <f ca="1">Y17</f>
        <v>#NAME?</v>
      </c>
      <c r="Y18" s="153" t="e">
        <f ca="1">POLYGAMMA(X13+Y13,1)-POLYGAMMA(Y13,1)</f>
        <v>#NAME?</v>
      </c>
    </row>
    <row r="19" spans="1:25" x14ac:dyDescent="0.25">
      <c r="A19" s="538">
        <v>0.73</v>
      </c>
      <c r="B19" s="538">
        <f t="shared" si="0"/>
        <v>-0.31471074483970024</v>
      </c>
      <c r="C19">
        <f t="shared" si="1"/>
        <v>-1.3093333199837622</v>
      </c>
    </row>
    <row r="20" spans="1:25" x14ac:dyDescent="0.25">
      <c r="A20" s="538">
        <v>0.37</v>
      </c>
      <c r="B20" s="538">
        <f t="shared" si="0"/>
        <v>-0.9942522733438669</v>
      </c>
      <c r="C20">
        <f t="shared" si="1"/>
        <v>-0.46203545959655867</v>
      </c>
    </row>
    <row r="21" spans="1:25" x14ac:dyDescent="0.25">
      <c r="A21" s="527">
        <v>0.42</v>
      </c>
      <c r="B21" s="527">
        <f t="shared" si="0"/>
        <v>-0.86750056770472306</v>
      </c>
      <c r="C21" s="276">
        <f t="shared" si="1"/>
        <v>-0.54472717544167193</v>
      </c>
    </row>
    <row r="22" spans="1:25" x14ac:dyDescent="0.25">
      <c r="B22">
        <f>AVERAGE(B4:B21)</f>
        <v>-1.0896609146605676</v>
      </c>
      <c r="C22">
        <f>AVERAGE(C4:C21)</f>
        <v>-0.52612698665124502</v>
      </c>
    </row>
  </sheetData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T23"/>
  <sheetViews>
    <sheetView workbookViewId="0"/>
  </sheetViews>
  <sheetFormatPr defaultRowHeight="15" x14ac:dyDescent="0.25"/>
  <cols>
    <col min="1" max="1" width="3.28515625" customWidth="1"/>
    <col min="4" max="4" width="4" customWidth="1"/>
    <col min="9" max="9" width="9.140625" customWidth="1"/>
    <col min="15" max="15" width="4.5703125" customWidth="1"/>
    <col min="18" max="18" width="4.42578125" customWidth="1"/>
  </cols>
  <sheetData>
    <row r="1" spans="1:20" x14ac:dyDescent="0.25">
      <c r="A1" s="1" t="s">
        <v>1513</v>
      </c>
      <c r="M1" t="s">
        <v>1514</v>
      </c>
      <c r="P1" t="s">
        <v>1515</v>
      </c>
      <c r="S1" t="s">
        <v>1516</v>
      </c>
    </row>
    <row r="3" spans="1:20" x14ac:dyDescent="0.25">
      <c r="B3" s="316">
        <v>0.19475522401468082</v>
      </c>
      <c r="C3" s="317">
        <v>0.49972546107261362</v>
      </c>
      <c r="E3" s="491" t="s">
        <v>1517</v>
      </c>
      <c r="F3" s="491">
        <v>0</v>
      </c>
      <c r="G3" s="491">
        <f>F3+1</f>
        <v>1</v>
      </c>
      <c r="H3" s="491">
        <f>G3+1</f>
        <v>2</v>
      </c>
      <c r="I3" s="491">
        <f>H3+1</f>
        <v>3</v>
      </c>
      <c r="J3" s="491">
        <f>I3+1</f>
        <v>4</v>
      </c>
      <c r="K3" s="491">
        <f>J3+1</f>
        <v>5</v>
      </c>
      <c r="M3" t="e">
        <f t="array" aca="1" ref="M3:N9" ca="1">UNIFORM_FIT(B3:C12,TRUE)</f>
        <v>#NAME?</v>
      </c>
      <c r="N3" s="486" t="e">
        <f ca="1"/>
        <v>#NAME?</v>
      </c>
      <c r="P3" t="e">
        <f t="array" aca="1" ref="P3:Q9" ca="1">UNIFORM_FIT(B3:C12,TRUE,0)</f>
        <v>#NAME?</v>
      </c>
      <c r="Q3" s="486" t="e">
        <f ca="1"/>
        <v>#NAME?</v>
      </c>
      <c r="S3" t="e">
        <f t="array" aca="1" ref="S3:T9" ca="1">UNIFORM_FIT(B3:C12,TRUE,10)</f>
        <v>#NAME?</v>
      </c>
      <c r="T3" s="486" t="e">
        <f ca="1"/>
        <v>#NAME?</v>
      </c>
    </row>
    <row r="4" spans="1:20" x14ac:dyDescent="0.25">
      <c r="B4" s="166">
        <v>7.1745968400652838E-2</v>
      </c>
      <c r="C4" s="167">
        <v>7.696501560443747E-2</v>
      </c>
      <c r="E4" t="s">
        <v>105</v>
      </c>
      <c r="F4">
        <f>COUNT(B3:C12)</f>
        <v>20</v>
      </c>
      <c r="G4">
        <f>F4</f>
        <v>20</v>
      </c>
      <c r="H4">
        <f>G4</f>
        <v>20</v>
      </c>
      <c r="I4">
        <f>H4</f>
        <v>20</v>
      </c>
      <c r="J4">
        <f>I4</f>
        <v>20</v>
      </c>
      <c r="K4">
        <f>J4</f>
        <v>20</v>
      </c>
      <c r="M4" t="e">
        <f ca="1"/>
        <v>#NAME?</v>
      </c>
      <c r="N4" s="163" t="e">
        <f ca="1"/>
        <v>#NAME?</v>
      </c>
      <c r="P4" t="e">
        <f ca="1"/>
        <v>#NAME?</v>
      </c>
      <c r="Q4" s="163" t="e">
        <f ca="1"/>
        <v>#NAME?</v>
      </c>
      <c r="S4" t="e">
        <f ca="1"/>
        <v>#NAME?</v>
      </c>
      <c r="T4" s="163" t="e">
        <f ca="1"/>
        <v>#NAME?</v>
      </c>
    </row>
    <row r="5" spans="1:20" x14ac:dyDescent="0.25">
      <c r="B5" s="166">
        <v>0.76615528057237703</v>
      </c>
      <c r="C5" s="167">
        <v>0.28880057459994912</v>
      </c>
      <c r="E5" t="s">
        <v>818</v>
      </c>
      <c r="F5">
        <f>MIN(B3:C12)</f>
        <v>4.3082998095775871E-3</v>
      </c>
      <c r="G5">
        <f t="shared" ref="G5:J6" si="0">F5</f>
        <v>4.3082998095775871E-3</v>
      </c>
      <c r="H5">
        <f t="shared" si="0"/>
        <v>4.3082998095775871E-3</v>
      </c>
      <c r="I5">
        <f t="shared" si="0"/>
        <v>4.3082998095775871E-3</v>
      </c>
      <c r="J5">
        <f t="shared" si="0"/>
        <v>4.3082998095775871E-3</v>
      </c>
      <c r="K5">
        <f>J5</f>
        <v>4.3082998095775871E-3</v>
      </c>
      <c r="M5" t="e">
        <f ca="1"/>
        <v>#NAME?</v>
      </c>
      <c r="N5" s="163" t="e">
        <f ca="1"/>
        <v>#NAME?</v>
      </c>
      <c r="P5" t="e">
        <f ca="1"/>
        <v>#NAME?</v>
      </c>
      <c r="Q5" s="163" t="e">
        <f ca="1"/>
        <v>#NAME?</v>
      </c>
      <c r="S5" t="e">
        <f ca="1"/>
        <v>#NAME?</v>
      </c>
      <c r="T5" s="163" t="e">
        <f ca="1"/>
        <v>#NAME?</v>
      </c>
    </row>
    <row r="6" spans="1:20" x14ac:dyDescent="0.25">
      <c r="B6" s="166">
        <v>0.86155164573838494</v>
      </c>
      <c r="C6" s="167">
        <v>0.9992301268494701</v>
      </c>
      <c r="E6" s="276" t="s">
        <v>819</v>
      </c>
      <c r="F6" s="276">
        <f>MAX(B3:C12)</f>
        <v>0.9992301268494701</v>
      </c>
      <c r="G6" s="276">
        <f t="shared" si="0"/>
        <v>0.9992301268494701</v>
      </c>
      <c r="H6" s="276">
        <f t="shared" si="0"/>
        <v>0.9992301268494701</v>
      </c>
      <c r="I6" s="276">
        <f t="shared" si="0"/>
        <v>0.9992301268494701</v>
      </c>
      <c r="J6" s="276">
        <f t="shared" si="0"/>
        <v>0.9992301268494701</v>
      </c>
      <c r="K6" s="276">
        <f>J6</f>
        <v>0.9992301268494701</v>
      </c>
      <c r="M6" t="e">
        <f ca="1"/>
        <v>#NAME?</v>
      </c>
      <c r="N6" s="163" t="e">
        <f ca="1"/>
        <v>#NAME?</v>
      </c>
      <c r="P6" t="e">
        <f ca="1"/>
        <v>#NAME?</v>
      </c>
      <c r="Q6" s="163" t="e">
        <f ca="1"/>
        <v>#NAME?</v>
      </c>
      <c r="S6" t="e">
        <f ca="1"/>
        <v>#NAME?</v>
      </c>
      <c r="T6" s="163" t="e">
        <f ca="1"/>
        <v>#NAME?</v>
      </c>
    </row>
    <row r="7" spans="1:20" x14ac:dyDescent="0.25">
      <c r="B7" s="166">
        <v>0.30935117696985892</v>
      </c>
      <c r="C7" s="167">
        <v>4.3082998095775871E-3</v>
      </c>
      <c r="E7" t="s">
        <v>262</v>
      </c>
      <c r="F7">
        <f>MIN(B3:C12)</f>
        <v>4.3082998095775871E-3</v>
      </c>
      <c r="G7">
        <f>F8+(F4+1)*(F5-F8)/F4</f>
        <v>-4.5437791542416894E-2</v>
      </c>
      <c r="H7">
        <f>G8+(G4+1)*(G5-G8)/G4</f>
        <v>-4.7925096110016607E-2</v>
      </c>
      <c r="I7">
        <f>H8+(H4+1)*(H5-H8)/H4</f>
        <v>-4.8049461338396826E-2</v>
      </c>
      <c r="J7">
        <f>I8+(I4+1)*(I5-I8)/I4</f>
        <v>-4.8055679599815715E-2</v>
      </c>
      <c r="K7">
        <f>J8+(J4+1)*(J5-J8)/J4</f>
        <v>-4.8055990512886781E-2</v>
      </c>
      <c r="M7" t="e">
        <f ca="1"/>
        <v>#NAME?</v>
      </c>
      <c r="N7" s="163" t="e">
        <f ca="1"/>
        <v>#NAME?</v>
      </c>
      <c r="P7" t="e">
        <f ca="1"/>
        <v>#NAME?</v>
      </c>
      <c r="Q7" s="163" t="e">
        <f ca="1"/>
        <v>#NAME?</v>
      </c>
      <c r="S7" t="e">
        <f ca="1"/>
        <v>#NAME?</v>
      </c>
      <c r="T7" s="163" t="e">
        <f ca="1"/>
        <v>#NAME?</v>
      </c>
    </row>
    <row r="8" spans="1:20" x14ac:dyDescent="0.25">
      <c r="B8" s="166">
        <v>0.81616101449077938</v>
      </c>
      <c r="C8" s="167">
        <v>0.63123395198528909</v>
      </c>
      <c r="E8" s="276" t="s">
        <v>398</v>
      </c>
      <c r="F8" s="276">
        <f>MAX(B3:C12)</f>
        <v>0.9992301268494701</v>
      </c>
      <c r="G8" s="276">
        <f>F7+(F4+1)*(F6-F7)/F4</f>
        <v>1.0489762182014646</v>
      </c>
      <c r="H8" s="276">
        <f>G7+(G4+1)*(G6-G7)/G4</f>
        <v>1.0514635227690643</v>
      </c>
      <c r="I8" s="276">
        <f>H7+(H4+1)*(H6-H7)/H4</f>
        <v>1.0515878879974445</v>
      </c>
      <c r="J8" s="276">
        <f>I7+(I4+1)*(I6-I7)/I4</f>
        <v>1.0515941062588634</v>
      </c>
      <c r="K8" s="276">
        <f>J7+(J4+1)*(J6-J7)/J4</f>
        <v>1.0515944171719345</v>
      </c>
      <c r="M8" t="e">
        <f ca="1"/>
        <v>#NAME?</v>
      </c>
      <c r="N8" s="163" t="e">
        <f ca="1"/>
        <v>#NAME?</v>
      </c>
      <c r="P8" t="e">
        <f ca="1"/>
        <v>#NAME?</v>
      </c>
      <c r="Q8" s="163" t="e">
        <f ca="1"/>
        <v>#NAME?</v>
      </c>
      <c r="S8" t="e">
        <f ca="1"/>
        <v>#NAME?</v>
      </c>
      <c r="T8" s="163" t="e">
        <f ca="1"/>
        <v>#NAME?</v>
      </c>
    </row>
    <row r="9" spans="1:20" x14ac:dyDescent="0.25">
      <c r="B9" s="166">
        <v>0.78391098319653485</v>
      </c>
      <c r="C9" s="167">
        <v>0.12441084778974587</v>
      </c>
      <c r="M9" t="e">
        <f ca="1"/>
        <v>#NAME?</v>
      </c>
      <c r="N9" s="155" t="e">
        <f ca="1"/>
        <v>#NAME?</v>
      </c>
      <c r="P9" t="e">
        <f ca="1"/>
        <v>#NAME?</v>
      </c>
      <c r="Q9" s="155" t="e">
        <f ca="1"/>
        <v>#NAME?</v>
      </c>
      <c r="S9" t="e">
        <f ca="1"/>
        <v>#NAME?</v>
      </c>
      <c r="T9" s="155" t="e">
        <f ca="1"/>
        <v>#NAME?</v>
      </c>
    </row>
    <row r="10" spans="1:20" x14ac:dyDescent="0.25">
      <c r="B10" s="166">
        <v>0.65033552042937726</v>
      </c>
      <c r="C10" s="167">
        <v>0.7354627457237779</v>
      </c>
    </row>
    <row r="11" spans="1:20" x14ac:dyDescent="0.25">
      <c r="B11" s="166">
        <v>0.6465156704906786</v>
      </c>
      <c r="C11" s="167">
        <v>0.20606136064043235</v>
      </c>
    </row>
    <row r="12" spans="1:20" x14ac:dyDescent="0.25">
      <c r="B12" s="148">
        <v>0.64958420954791096</v>
      </c>
      <c r="C12" s="153">
        <v>0.74174892484903876</v>
      </c>
    </row>
    <row r="14" spans="1:20" x14ac:dyDescent="0.25">
      <c r="B14" s="316">
        <v>0.19475522401468082</v>
      </c>
      <c r="C14" s="317">
        <v>0.49972546107261362</v>
      </c>
      <c r="E14" s="491" t="s">
        <v>1517</v>
      </c>
      <c r="F14" s="491">
        <v>0</v>
      </c>
      <c r="G14" s="491">
        <f>F14+1</f>
        <v>1</v>
      </c>
      <c r="H14" s="491">
        <f>G14+1</f>
        <v>2</v>
      </c>
      <c r="I14" s="491">
        <f>H14+1</f>
        <v>3</v>
      </c>
      <c r="J14" s="491">
        <f>I14+1</f>
        <v>4</v>
      </c>
    </row>
    <row r="15" spans="1:20" x14ac:dyDescent="0.25">
      <c r="B15" s="166">
        <v>7.1745968400652838E-2</v>
      </c>
      <c r="C15" s="167">
        <v>7.696501560443747E-2</v>
      </c>
      <c r="E15" t="s">
        <v>105</v>
      </c>
      <c r="F15">
        <f>COUNT(B14:C23)</f>
        <v>20</v>
      </c>
      <c r="G15">
        <f>F15</f>
        <v>20</v>
      </c>
      <c r="H15">
        <f>G15</f>
        <v>20</v>
      </c>
      <c r="I15">
        <f>H15</f>
        <v>20</v>
      </c>
      <c r="J15">
        <f>I15</f>
        <v>20</v>
      </c>
    </row>
    <row r="16" spans="1:20" x14ac:dyDescent="0.25">
      <c r="B16" s="166">
        <v>0.76615528057237703</v>
      </c>
      <c r="C16" s="167">
        <v>0.28880057459994912</v>
      </c>
      <c r="E16" t="s">
        <v>818</v>
      </c>
      <c r="F16">
        <f>MIN(B14:C23)</f>
        <v>4.3082998095775871E-3</v>
      </c>
      <c r="G16">
        <f t="shared" ref="G16:J17" si="1">F16</f>
        <v>4.3082998095775871E-3</v>
      </c>
      <c r="H16">
        <f t="shared" si="1"/>
        <v>4.3082998095775871E-3</v>
      </c>
      <c r="I16">
        <f t="shared" si="1"/>
        <v>4.3082998095775871E-3</v>
      </c>
      <c r="J16">
        <f t="shared" si="1"/>
        <v>4.3082998095775871E-3</v>
      </c>
    </row>
    <row r="17" spans="2:10" x14ac:dyDescent="0.25">
      <c r="B17" s="166">
        <v>0.86155164573838494</v>
      </c>
      <c r="C17" s="167">
        <v>0.9992301268494701</v>
      </c>
      <c r="E17" s="276" t="s">
        <v>819</v>
      </c>
      <c r="F17" s="276">
        <f>MAX(B14:C23)</f>
        <v>0.9992301268494701</v>
      </c>
      <c r="G17" s="276">
        <f t="shared" si="1"/>
        <v>0.9992301268494701</v>
      </c>
      <c r="H17" s="276">
        <f t="shared" si="1"/>
        <v>0.9992301268494701</v>
      </c>
      <c r="I17" s="276">
        <f t="shared" si="1"/>
        <v>0.9992301268494701</v>
      </c>
      <c r="J17" s="276">
        <f t="shared" si="1"/>
        <v>0.9992301268494701</v>
      </c>
    </row>
    <row r="18" spans="2:10" x14ac:dyDescent="0.25">
      <c r="B18" s="166">
        <v>0.30935117696985892</v>
      </c>
      <c r="C18" s="167">
        <v>4.3082998095775871E-3</v>
      </c>
      <c r="E18" t="s">
        <v>262</v>
      </c>
      <c r="F18">
        <f>MIN(B14:C23)</f>
        <v>4.3082998095775871E-3</v>
      </c>
      <c r="G18">
        <f>F19+(F15+1)*(F16-F19)/F15</f>
        <v>-4.5437791542416894E-2</v>
      </c>
      <c r="H18">
        <f>G19+(G15+1)*(G16-G19)/G15</f>
        <v>-4.8049461338396826E-2</v>
      </c>
      <c r="I18">
        <f>H19+(H15+1)*(H16-H19)/H15</f>
        <v>-4.8055990512886781E-2</v>
      </c>
      <c r="J18">
        <f>I19+(I15+1)*(I16-I19)/I15</f>
        <v>-4.8056006835822895E-2</v>
      </c>
    </row>
    <row r="19" spans="2:10" x14ac:dyDescent="0.25">
      <c r="B19" s="166">
        <v>0.81616101449077938</v>
      </c>
      <c r="C19" s="167">
        <v>0.63123395198528909</v>
      </c>
      <c r="E19" s="276" t="s">
        <v>398</v>
      </c>
      <c r="F19" s="276">
        <f>MAX(B14:C23)</f>
        <v>0.9992301268494701</v>
      </c>
      <c r="G19" s="276">
        <f>G18+(F15+1)*(F17-G18)/F15</f>
        <v>1.0514635227690643</v>
      </c>
      <c r="H19" s="276">
        <f>H18+(G15+1)*(G17-H18)/G15</f>
        <v>1.0515941062588634</v>
      </c>
      <c r="I19" s="276">
        <f>I18+(H15+1)*(H17-I18)/H15</f>
        <v>1.0515944327175879</v>
      </c>
      <c r="J19" s="276">
        <f>J18+(I15+1)*(I17-J18)/I15</f>
        <v>1.0515944335337348</v>
      </c>
    </row>
    <row r="20" spans="2:10" x14ac:dyDescent="0.25">
      <c r="B20" s="166">
        <v>0.78391098319653485</v>
      </c>
      <c r="C20" s="167">
        <v>0.12441084778974587</v>
      </c>
    </row>
    <row r="21" spans="2:10" x14ac:dyDescent="0.25">
      <c r="B21" s="166">
        <v>0.65033552042937726</v>
      </c>
      <c r="C21" s="167">
        <v>0.7354627457237779</v>
      </c>
    </row>
    <row r="22" spans="2:10" x14ac:dyDescent="0.25">
      <c r="B22" s="166">
        <v>0.6465156704906786</v>
      </c>
      <c r="C22" s="167">
        <v>0.20606136064043235</v>
      </c>
    </row>
    <row r="23" spans="2:10" x14ac:dyDescent="0.25">
      <c r="B23" s="148">
        <v>0.64958420954791096</v>
      </c>
      <c r="C23" s="153">
        <v>0.74174892484903876</v>
      </c>
    </row>
  </sheetData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AA42"/>
  <sheetViews>
    <sheetView workbookViewId="0"/>
  </sheetViews>
  <sheetFormatPr defaultRowHeight="15" x14ac:dyDescent="0.25"/>
  <cols>
    <col min="1" max="1" width="6" customWidth="1"/>
    <col min="3" max="3" width="9.140625" customWidth="1"/>
    <col min="6" max="6" width="12.85546875" customWidth="1"/>
    <col min="8" max="8" width="10.28515625" customWidth="1"/>
    <col min="9" max="9" width="9.140625" customWidth="1"/>
    <col min="10" max="10" width="2.42578125" customWidth="1"/>
    <col min="11" max="11" width="33" customWidth="1"/>
  </cols>
  <sheetData>
    <row r="1" spans="1:27" x14ac:dyDescent="0.25">
      <c r="A1" s="1" t="s">
        <v>1527</v>
      </c>
      <c r="B1" s="1"/>
    </row>
    <row r="2" spans="1:27" x14ac:dyDescent="0.25">
      <c r="U2" t="s">
        <v>1528</v>
      </c>
    </row>
    <row r="3" spans="1:27" x14ac:dyDescent="0.25">
      <c r="A3" s="492" t="s">
        <v>1529</v>
      </c>
      <c r="B3" s="492" t="s">
        <v>28</v>
      </c>
      <c r="C3" s="492" t="s">
        <v>1530</v>
      </c>
      <c r="D3" s="492" t="s">
        <v>1531</v>
      </c>
      <c r="E3" s="492" t="s">
        <v>30</v>
      </c>
      <c r="F3" s="492" t="s">
        <v>1532</v>
      </c>
      <c r="H3" s="146" t="s">
        <v>528</v>
      </c>
      <c r="I3" s="486" t="e">
        <f ca="1">SLOPE(F4:F15,D4:D15)</f>
        <v>#NAME?</v>
      </c>
      <c r="K3" t="e">
        <f ca="1">FTEXT(I3)</f>
        <v>#NAME?</v>
      </c>
    </row>
    <row r="4" spans="1:27" ht="15.75" thickBot="1" x14ac:dyDescent="0.3">
      <c r="A4" s="538">
        <v>1</v>
      </c>
      <c r="B4" s="538">
        <v>509</v>
      </c>
      <c r="C4" s="538" t="e">
        <f t="array" aca="1" ref="C4:C15" ca="1">QSORT(B4:B15)</f>
        <v>#NAME?</v>
      </c>
      <c r="D4" t="e">
        <f t="shared" ref="D4:D15" ca="1" si="0">LN(C4)</f>
        <v>#NAME?</v>
      </c>
      <c r="E4">
        <f t="shared" ref="E4:E15" si="1">(A4-0.5)/A$15</f>
        <v>4.1666666666666664E-2</v>
      </c>
      <c r="F4">
        <f t="shared" ref="F4:F15" si="2">LN(-LN(1-E4))</f>
        <v>-3.1568494936985307</v>
      </c>
      <c r="H4" s="546" t="s">
        <v>1533</v>
      </c>
      <c r="I4" s="163" t="e">
        <f ca="1">INTERCEPT(F4:F15,D4:D15)</f>
        <v>#NAME?</v>
      </c>
      <c r="K4" t="e">
        <f ca="1">FTEXT(I4)</f>
        <v>#NAME?</v>
      </c>
      <c r="U4" s="547" t="s">
        <v>1534</v>
      </c>
      <c r="V4" s="547"/>
      <c r="X4" s="547"/>
      <c r="Y4" s="547"/>
    </row>
    <row r="5" spans="1:27" ht="15" customHeight="1" thickTop="1" x14ac:dyDescent="0.25">
      <c r="A5" s="538">
        <f t="shared" ref="A5:A15" si="3">A4+1</f>
        <v>2</v>
      </c>
      <c r="B5" s="538">
        <v>660</v>
      </c>
      <c r="C5" s="538" t="e">
        <f ca="1"/>
        <v>#NAME?</v>
      </c>
      <c r="D5" t="e">
        <f t="shared" ca="1" si="0"/>
        <v>#NAME?</v>
      </c>
      <c r="E5">
        <f t="shared" si="1"/>
        <v>0.125</v>
      </c>
      <c r="F5">
        <f t="shared" si="2"/>
        <v>-2.0134186780399479</v>
      </c>
      <c r="H5" s="548" t="s">
        <v>140</v>
      </c>
      <c r="I5" s="155" t="e">
        <f ca="1">EXP(-I4/I3)</f>
        <v>#NAME?</v>
      </c>
      <c r="K5" t="e">
        <f ca="1">FTEXT(I5)</f>
        <v>#NAME?</v>
      </c>
      <c r="U5" t="s">
        <v>1535</v>
      </c>
      <c r="V5" t="e">
        <f ca="1">SQRT(V6)</f>
        <v>#NAME?</v>
      </c>
      <c r="X5" t="s">
        <v>1536</v>
      </c>
      <c r="Y5" t="e">
        <f ca="1">V9*LN(W14/V9)+2*(V13+1)</f>
        <v>#NAME?</v>
      </c>
    </row>
    <row r="6" spans="1:27" x14ac:dyDescent="0.25">
      <c r="A6" s="538">
        <f t="shared" si="3"/>
        <v>3</v>
      </c>
      <c r="B6" s="538">
        <v>386</v>
      </c>
      <c r="C6" s="538" t="e">
        <f ca="1"/>
        <v>#NAME?</v>
      </c>
      <c r="D6" t="e">
        <f t="shared" ca="1" si="0"/>
        <v>#NAME?</v>
      </c>
      <c r="E6">
        <f t="shared" si="1"/>
        <v>0.20833333333333334</v>
      </c>
      <c r="F6">
        <f t="shared" si="2"/>
        <v>-1.4540814547855936</v>
      </c>
      <c r="U6" t="s">
        <v>1537</v>
      </c>
      <c r="V6" t="e">
        <f ca="1">W13/W15</f>
        <v>#NAME?</v>
      </c>
      <c r="X6" t="s">
        <v>1538</v>
      </c>
      <c r="Y6" t="e">
        <f ca="1">Y5+2*(V13+2)*(V13+3)/(V9-V13-3)</f>
        <v>#NAME?</v>
      </c>
    </row>
    <row r="7" spans="1:27" x14ac:dyDescent="0.25">
      <c r="A7" s="538">
        <f t="shared" si="3"/>
        <v>4</v>
      </c>
      <c r="B7" s="538">
        <v>753</v>
      </c>
      <c r="C7" s="538" t="e">
        <f ca="1"/>
        <v>#NAME?</v>
      </c>
      <c r="D7" t="e">
        <f t="shared" ca="1" si="0"/>
        <v>#NAME?</v>
      </c>
      <c r="E7">
        <f t="shared" si="1"/>
        <v>0.29166666666666669</v>
      </c>
      <c r="F7">
        <f t="shared" si="2"/>
        <v>-1.0646733274461582</v>
      </c>
      <c r="H7" t="s">
        <v>1554</v>
      </c>
      <c r="I7" s="486" t="e">
        <f ca="1">AVERAGE(C4:C15)</f>
        <v>#NAME?</v>
      </c>
      <c r="K7" t="e">
        <f ca="1">FTEXT(I7)</f>
        <v>#NAME?</v>
      </c>
      <c r="U7" t="s">
        <v>1539</v>
      </c>
      <c r="V7" t="e">
        <f ca="1">1-(1-V6)*(V9-1)/(V9-V13-1)</f>
        <v>#NAME?</v>
      </c>
      <c r="X7" s="276" t="s">
        <v>1540</v>
      </c>
      <c r="Y7" s="276" t="e">
        <f ca="1">V9*LN(W14/V9)+(V13+1)*LN(V9)</f>
        <v>#NAME?</v>
      </c>
    </row>
    <row r="8" spans="1:27" x14ac:dyDescent="0.25">
      <c r="A8" s="538">
        <f t="shared" si="3"/>
        <v>5</v>
      </c>
      <c r="B8" s="538">
        <v>811</v>
      </c>
      <c r="C8" s="538" t="e">
        <f ca="1"/>
        <v>#NAME?</v>
      </c>
      <c r="D8" t="e">
        <f t="shared" ca="1" si="0"/>
        <v>#NAME?</v>
      </c>
      <c r="E8">
        <f t="shared" si="1"/>
        <v>0.375</v>
      </c>
      <c r="F8">
        <f t="shared" si="2"/>
        <v>-0.75501486250840832</v>
      </c>
      <c r="H8" t="s">
        <v>1555</v>
      </c>
      <c r="I8" s="155" t="e">
        <f ca="1">I5*EXP(GAMMALN(1+1/I3))</f>
        <v>#NAME?</v>
      </c>
      <c r="K8" t="e">
        <f ca="1">FTEXT(I8)</f>
        <v>#NAME?</v>
      </c>
      <c r="U8" t="s">
        <v>76</v>
      </c>
      <c r="V8" t="e">
        <f ca="1">SQRT(X14)</f>
        <v>#NAME?</v>
      </c>
    </row>
    <row r="9" spans="1:27" x14ac:dyDescent="0.25">
      <c r="A9" s="538">
        <f t="shared" si="3"/>
        <v>6</v>
      </c>
      <c r="B9" s="538">
        <v>613</v>
      </c>
      <c r="C9" s="538" t="e">
        <f ca="1"/>
        <v>#NAME?</v>
      </c>
      <c r="D9" t="e">
        <f t="shared" ca="1" si="0"/>
        <v>#NAME?</v>
      </c>
      <c r="E9">
        <f t="shared" si="1"/>
        <v>0.45833333333333331</v>
      </c>
      <c r="F9">
        <f t="shared" si="2"/>
        <v>-0.48921992871505598</v>
      </c>
      <c r="U9" s="276" t="s">
        <v>205</v>
      </c>
      <c r="V9" s="276">
        <f>COUNT(F4:F15)</f>
        <v>12</v>
      </c>
    </row>
    <row r="10" spans="1:27" x14ac:dyDescent="0.25">
      <c r="A10" s="538">
        <f t="shared" si="3"/>
        <v>7</v>
      </c>
      <c r="B10" s="538">
        <v>848</v>
      </c>
      <c r="C10" s="538" t="e">
        <f ca="1"/>
        <v>#NAME?</v>
      </c>
      <c r="D10" t="e">
        <f t="shared" ca="1" si="0"/>
        <v>#NAME?</v>
      </c>
      <c r="E10">
        <f t="shared" si="1"/>
        <v>0.54166666666666663</v>
      </c>
      <c r="F10">
        <f t="shared" si="2"/>
        <v>-0.24825810104714613</v>
      </c>
      <c r="H10" t="s">
        <v>1556</v>
      </c>
      <c r="I10" s="486" t="e">
        <f ca="1">VAR(C4:C15)</f>
        <v>#NAME?</v>
      </c>
      <c r="K10" s="22" t="s">
        <v>1553</v>
      </c>
    </row>
    <row r="11" spans="1:27" ht="15.75" thickBot="1" x14ac:dyDescent="0.3">
      <c r="A11" s="538">
        <f t="shared" si="3"/>
        <v>8</v>
      </c>
      <c r="B11" s="538">
        <v>725</v>
      </c>
      <c r="C11" s="538" t="e">
        <f ca="1"/>
        <v>#NAME?</v>
      </c>
      <c r="D11" t="e">
        <f t="shared" ca="1" si="0"/>
        <v>#NAME?</v>
      </c>
      <c r="E11">
        <f t="shared" si="1"/>
        <v>0.625</v>
      </c>
      <c r="F11">
        <f t="shared" si="2"/>
        <v>-1.9356888580482099E-2</v>
      </c>
      <c r="H11" t="s">
        <v>1557</v>
      </c>
      <c r="I11" s="155" t="e">
        <f ca="1">I5^2*EXP(GAMMALN(1+2/I3))-I8^2</f>
        <v>#NAME?</v>
      </c>
      <c r="K11" t="e">
        <f ca="1">FTEXT(I11)</f>
        <v>#NAME?</v>
      </c>
      <c r="U11" t="s">
        <v>1541</v>
      </c>
      <c r="Y11" s="538" t="s">
        <v>114</v>
      </c>
      <c r="Z11" s="538">
        <v>0.05</v>
      </c>
    </row>
    <row r="12" spans="1:27" ht="15.75" thickTop="1" x14ac:dyDescent="0.25">
      <c r="A12" s="538">
        <f t="shared" si="3"/>
        <v>9</v>
      </c>
      <c r="B12" s="538">
        <v>315</v>
      </c>
      <c r="C12" s="538" t="e">
        <f ca="1"/>
        <v>#NAME?</v>
      </c>
      <c r="D12" t="e">
        <f t="shared" ca="1" si="0"/>
        <v>#NAME?</v>
      </c>
      <c r="E12">
        <f t="shared" si="1"/>
        <v>0.70833333333333337</v>
      </c>
      <c r="F12">
        <f t="shared" si="2"/>
        <v>0.20875548273706646</v>
      </c>
      <c r="U12" s="291"/>
      <c r="V12" s="291" t="s">
        <v>168</v>
      </c>
      <c r="W12" s="291" t="s">
        <v>362</v>
      </c>
      <c r="X12" s="291" t="s">
        <v>1542</v>
      </c>
      <c r="Y12" s="291" t="s">
        <v>310</v>
      </c>
      <c r="Z12" s="291" t="s">
        <v>182</v>
      </c>
      <c r="AA12" s="291" t="s">
        <v>381</v>
      </c>
    </row>
    <row r="13" spans="1:27" x14ac:dyDescent="0.25">
      <c r="A13" s="538">
        <f t="shared" si="3"/>
        <v>10</v>
      </c>
      <c r="B13" s="538">
        <v>872</v>
      </c>
      <c r="C13" s="538" t="e">
        <f ca="1"/>
        <v>#NAME?</v>
      </c>
      <c r="D13" t="e">
        <f t="shared" ca="1" si="0"/>
        <v>#NAME?</v>
      </c>
      <c r="E13">
        <f t="shared" si="1"/>
        <v>0.79166666666666663</v>
      </c>
      <c r="F13">
        <f t="shared" si="2"/>
        <v>0.45019364959260355</v>
      </c>
      <c r="H13" t="s">
        <v>1543</v>
      </c>
      <c r="I13" s="205" t="e">
        <f ca="1">RSQ(F4:F15,D4:D15)</f>
        <v>#NAME?</v>
      </c>
      <c r="K13" t="e">
        <f ca="1">FTEXT(I13)</f>
        <v>#NAME?</v>
      </c>
      <c r="U13" t="s">
        <v>1544</v>
      </c>
      <c r="V13">
        <f ca="1">COUNT(D4)</f>
        <v>0</v>
      </c>
      <c r="W13" t="e">
        <f ca="1">DEVSQ(MMULT(DESIGN(D4:D15),V18:V19))</f>
        <v>#NAME?</v>
      </c>
      <c r="X13" t="e">
        <f ca="1">W13/V13</f>
        <v>#NAME?</v>
      </c>
      <c r="Y13" t="e">
        <f ca="1">X13/X14</f>
        <v>#NAME?</v>
      </c>
      <c r="Z13" t="e">
        <f ca="1">FDIST(Y13,V13,V14)</f>
        <v>#NAME?</v>
      </c>
      <c r="AA13" s="538" t="e">
        <f ca="1">IF(Z13&lt;Z11,"yes","no")</f>
        <v>#NAME?</v>
      </c>
    </row>
    <row r="14" spans="1:27" x14ac:dyDescent="0.25">
      <c r="A14" s="538">
        <f t="shared" si="3"/>
        <v>11</v>
      </c>
      <c r="B14" s="538">
        <v>487</v>
      </c>
      <c r="C14" s="538" t="e">
        <f ca="1"/>
        <v>#NAME?</v>
      </c>
      <c r="D14" t="e">
        <f t="shared" ca="1" si="0"/>
        <v>#NAME?</v>
      </c>
      <c r="E14">
        <f t="shared" si="1"/>
        <v>0.875</v>
      </c>
      <c r="F14">
        <f t="shared" si="2"/>
        <v>0.73209936808644527</v>
      </c>
      <c r="U14" t="s">
        <v>1545</v>
      </c>
      <c r="V14">
        <f ca="1">V15-V13</f>
        <v>11</v>
      </c>
      <c r="W14" t="e">
        <f ca="1">W15-W13</f>
        <v>#NAME?</v>
      </c>
      <c r="X14" t="e">
        <f ca="1">W14/V14</f>
        <v>#NAME?</v>
      </c>
    </row>
    <row r="15" spans="1:27" x14ac:dyDescent="0.25">
      <c r="A15" s="527">
        <f t="shared" si="3"/>
        <v>12</v>
      </c>
      <c r="B15" s="527">
        <v>512</v>
      </c>
      <c r="C15" s="527" t="e">
        <f ca="1"/>
        <v>#NAME?</v>
      </c>
      <c r="D15" s="276" t="e">
        <f t="shared" ca="1" si="0"/>
        <v>#NAME?</v>
      </c>
      <c r="E15" s="276">
        <f t="shared" si="1"/>
        <v>0.95833333333333337</v>
      </c>
      <c r="F15" s="276">
        <f t="shared" si="2"/>
        <v>1.1562690064065477</v>
      </c>
      <c r="U15" s="276" t="s">
        <v>12</v>
      </c>
      <c r="V15" s="276">
        <f>V9-1</f>
        <v>11</v>
      </c>
      <c r="W15" s="276">
        <f>DEVSQ(F4:F15)</f>
        <v>16.56885693470263</v>
      </c>
      <c r="X15" s="276"/>
      <c r="Y15" s="276"/>
      <c r="Z15" s="276"/>
      <c r="AA15" s="276"/>
    </row>
    <row r="16" spans="1:27" ht="15.75" thickBot="1" x14ac:dyDescent="0.3"/>
    <row r="17" spans="8:27" ht="15.75" thickTop="1" x14ac:dyDescent="0.25">
      <c r="U17" s="291"/>
      <c r="V17" s="291" t="s">
        <v>1546</v>
      </c>
      <c r="W17" s="291" t="s">
        <v>424</v>
      </c>
      <c r="X17" s="291" t="s">
        <v>170</v>
      </c>
      <c r="Y17" s="291" t="s">
        <v>182</v>
      </c>
      <c r="Z17" s="291" t="s">
        <v>102</v>
      </c>
      <c r="AA17" s="291" t="s">
        <v>103</v>
      </c>
    </row>
    <row r="18" spans="8:27" x14ac:dyDescent="0.25">
      <c r="H18" t="s">
        <v>262</v>
      </c>
      <c r="I18" s="486" t="e">
        <f ca="1">I5</f>
        <v>#NAME?</v>
      </c>
      <c r="K18" t="e">
        <f ca="1">FTEXT(I18)</f>
        <v>#NAME?</v>
      </c>
      <c r="M18" s="549" t="e">
        <f t="array" aca="1" ref="M18:N22" ca="1">LINEST(F4:F15,D4:D15,TRUE,TRUE)</f>
        <v>#VALUE!</v>
      </c>
      <c r="N18" s="550" t="e">
        <f ca="1"/>
        <v>#VALUE!</v>
      </c>
      <c r="U18" t="s">
        <v>1547</v>
      </c>
      <c r="V18" t="e">
        <f t="array" aca="1" ref="V18:W19" ca="1">RegCoeff(D4:D15,F4:F15)</f>
        <v>#NAME?</v>
      </c>
      <c r="W18" t="e">
        <f ca="1"/>
        <v>#NAME?</v>
      </c>
      <c r="X18" t="e">
        <f ca="1">V18/W18</f>
        <v>#NAME?</v>
      </c>
      <c r="Y18" t="e">
        <f ca="1">TDIST(ABS(X18),$V$14,2)</f>
        <v>#NAME?</v>
      </c>
      <c r="Z18" t="e">
        <f ca="1">V18-TINV(Z$11,$V$14)*W18</f>
        <v>#NAME?</v>
      </c>
      <c r="AA18" t="e">
        <f ca="1">V18+TINV(Z$11,$V$14)*W18</f>
        <v>#NAME?</v>
      </c>
    </row>
    <row r="19" spans="8:27" x14ac:dyDescent="0.25">
      <c r="H19" t="s">
        <v>398</v>
      </c>
      <c r="I19" s="163" t="e">
        <f ca="1">I3</f>
        <v>#NAME?</v>
      </c>
      <c r="K19" t="e">
        <f ca="1">FTEXT(I19)</f>
        <v>#NAME?</v>
      </c>
      <c r="M19" s="551" t="e">
        <f ca="1"/>
        <v>#VALUE!</v>
      </c>
      <c r="N19" s="167" t="e">
        <f ca="1"/>
        <v>#VALUE!</v>
      </c>
      <c r="U19" s="276" t="str">
        <f t="array" ref="U19">TRANSPOSE(D3)</f>
        <v>ln(x)</v>
      </c>
      <c r="V19" s="276" t="e">
        <f ca="1"/>
        <v>#NAME?</v>
      </c>
      <c r="W19" s="276" t="e">
        <f ca="1"/>
        <v>#NAME?</v>
      </c>
      <c r="X19" s="276" t="e">
        <f ca="1">V19/W19</f>
        <v>#NAME?</v>
      </c>
      <c r="Y19" s="276" t="e">
        <f ca="1">TDIST(ABS(X19),$V$14,2)</f>
        <v>#NAME?</v>
      </c>
      <c r="Z19" s="276" t="e">
        <f ca="1">V19-TINV(Z$11,$V$14)*W19</f>
        <v>#NAME?</v>
      </c>
      <c r="AA19" s="276" t="e">
        <f ca="1">V19+TINV(Z$11,$V$14)*W19</f>
        <v>#NAME?</v>
      </c>
    </row>
    <row r="20" spans="8:27" x14ac:dyDescent="0.25">
      <c r="H20" t="s">
        <v>1505</v>
      </c>
      <c r="I20" s="163">
        <f>AVERAGE(B4:B15)</f>
        <v>624.25</v>
      </c>
      <c r="K20" t="e">
        <f ca="1">FTEXT(I20)</f>
        <v>#NAME?</v>
      </c>
      <c r="M20" s="166" t="e">
        <f ca="1"/>
        <v>#VALUE!</v>
      </c>
      <c r="N20" s="167" t="e">
        <f ca="1"/>
        <v>#VALUE!</v>
      </c>
    </row>
    <row r="21" spans="8:27" x14ac:dyDescent="0.25">
      <c r="H21" t="s">
        <v>1506</v>
      </c>
      <c r="I21" s="163" t="e">
        <f ca="1">I18*EXP(GAMMALN(1+1/I19))</f>
        <v>#NAME?</v>
      </c>
      <c r="K21" t="e">
        <f ca="1">FTEXT(I21)</f>
        <v>#NAME?</v>
      </c>
      <c r="M21" s="166" t="e">
        <f ca="1"/>
        <v>#VALUE!</v>
      </c>
      <c r="N21" s="167" t="e">
        <f ca="1"/>
        <v>#VALUE!</v>
      </c>
    </row>
    <row r="22" spans="8:27" x14ac:dyDescent="0.25">
      <c r="H22" t="s">
        <v>1508</v>
      </c>
      <c r="I22" s="163">
        <f>VAR(B4:B15)</f>
        <v>33779.11363636364</v>
      </c>
      <c r="K22" t="e">
        <f ca="1">FTEXT(I22)</f>
        <v>#NAME?</v>
      </c>
      <c r="M22" s="148" t="e">
        <f ca="1"/>
        <v>#VALUE!</v>
      </c>
      <c r="N22" s="153" t="e">
        <f ca="1"/>
        <v>#VALUE!</v>
      </c>
    </row>
    <row r="23" spans="8:27" x14ac:dyDescent="0.25">
      <c r="H23" t="s">
        <v>1510</v>
      </c>
      <c r="I23" s="163" t="e">
        <f ca="1">I18^2*EXP(GAMMALN(1+2/I19))-I21^2</f>
        <v>#NAME?</v>
      </c>
      <c r="K23" t="e">
        <f ca="1">FTEXT(I23)</f>
        <v>#NAME?</v>
      </c>
    </row>
    <row r="24" spans="8:27" x14ac:dyDescent="0.25">
      <c r="H24" t="s">
        <v>1548</v>
      </c>
      <c r="I24" s="155" t="e">
        <f ca="1">CORREL(F4:F15,D4:D15*I3+I4)^2</f>
        <v>#NAME?</v>
      </c>
      <c r="K24" t="e">
        <f ca="1">FTEXT(I24)</f>
        <v>#NAME?</v>
      </c>
    </row>
    <row r="26" spans="8:27" x14ac:dyDescent="0.25">
      <c r="H26" t="e">
        <f t="array" aca="1" ref="H26:I33" ca="1">WEIBULL_FITR(B4:B15,TRUE)</f>
        <v>#NAME?</v>
      </c>
      <c r="I26" s="486" t="e">
        <f ca="1"/>
        <v>#NAME?</v>
      </c>
      <c r="K26" t="e">
        <f ca="1">FTEXT(I26)</f>
        <v>#NAME?</v>
      </c>
    </row>
    <row r="27" spans="8:27" x14ac:dyDescent="0.25">
      <c r="H27" t="e">
        <f ca="1"/>
        <v>#NAME?</v>
      </c>
      <c r="I27" s="163" t="e">
        <f ca="1"/>
        <v>#NAME?</v>
      </c>
    </row>
    <row r="28" spans="8:27" x14ac:dyDescent="0.25">
      <c r="H28" t="e">
        <f ca="1"/>
        <v>#NAME?</v>
      </c>
      <c r="I28" s="163" t="e">
        <f ca="1"/>
        <v>#NAME?</v>
      </c>
    </row>
    <row r="29" spans="8:27" x14ac:dyDescent="0.25">
      <c r="H29" t="e">
        <f ca="1"/>
        <v>#NAME?</v>
      </c>
      <c r="I29" s="163" t="e">
        <f ca="1"/>
        <v>#NAME?</v>
      </c>
    </row>
    <row r="30" spans="8:27" x14ac:dyDescent="0.25">
      <c r="H30" t="e">
        <f ca="1"/>
        <v>#NAME?</v>
      </c>
      <c r="I30" s="163" t="e">
        <f ca="1"/>
        <v>#NAME?</v>
      </c>
    </row>
    <row r="31" spans="8:27" x14ac:dyDescent="0.25">
      <c r="H31" t="e">
        <f ca="1"/>
        <v>#NAME?</v>
      </c>
      <c r="I31" s="163" t="e">
        <f ca="1"/>
        <v>#NAME?</v>
      </c>
    </row>
    <row r="32" spans="8:27" x14ac:dyDescent="0.25">
      <c r="H32" t="e">
        <f ca="1"/>
        <v>#NAME?</v>
      </c>
      <c r="I32" s="163" t="e">
        <f ca="1"/>
        <v>#NAME?</v>
      </c>
    </row>
    <row r="33" spans="8:11" x14ac:dyDescent="0.25">
      <c r="H33" t="e">
        <f ca="1"/>
        <v>#NAME?</v>
      </c>
      <c r="I33" s="155" t="e">
        <f ca="1"/>
        <v>#NAME?</v>
      </c>
    </row>
    <row r="35" spans="8:11" x14ac:dyDescent="0.25">
      <c r="H35" t="e">
        <f t="array" aca="1" ref="H35:I42" ca="1">WEIBULL_FITR(B4:B15,TRUE,FALSE)</f>
        <v>#NAME?</v>
      </c>
      <c r="I35" s="486" t="e">
        <f ca="1"/>
        <v>#NAME?</v>
      </c>
      <c r="K35" t="e">
        <f ca="1">FTEXT(I35)</f>
        <v>#NAME?</v>
      </c>
    </row>
    <row r="36" spans="8:11" x14ac:dyDescent="0.25">
      <c r="H36" t="e">
        <f ca="1"/>
        <v>#NAME?</v>
      </c>
      <c r="I36" s="163" t="e">
        <f ca="1"/>
        <v>#NAME?</v>
      </c>
    </row>
    <row r="37" spans="8:11" x14ac:dyDescent="0.25">
      <c r="H37" t="e">
        <f ca="1"/>
        <v>#NAME?</v>
      </c>
      <c r="I37" s="163" t="e">
        <f ca="1"/>
        <v>#NAME?</v>
      </c>
    </row>
    <row r="38" spans="8:11" x14ac:dyDescent="0.25">
      <c r="H38" t="e">
        <f ca="1"/>
        <v>#NAME?</v>
      </c>
      <c r="I38" s="163" t="e">
        <f ca="1"/>
        <v>#NAME?</v>
      </c>
    </row>
    <row r="39" spans="8:11" x14ac:dyDescent="0.25">
      <c r="H39" t="e">
        <f ca="1"/>
        <v>#NAME?</v>
      </c>
      <c r="I39" s="163" t="e">
        <f ca="1"/>
        <v>#NAME?</v>
      </c>
    </row>
    <row r="40" spans="8:11" x14ac:dyDescent="0.25">
      <c r="H40" t="e">
        <f ca="1"/>
        <v>#NAME?</v>
      </c>
      <c r="I40" s="163" t="e">
        <f ca="1"/>
        <v>#NAME?</v>
      </c>
    </row>
    <row r="41" spans="8:11" x14ac:dyDescent="0.25">
      <c r="H41" t="e">
        <f ca="1"/>
        <v>#NAME?</v>
      </c>
      <c r="I41" s="163" t="e">
        <f ca="1"/>
        <v>#NAME?</v>
      </c>
    </row>
    <row r="42" spans="8:11" x14ac:dyDescent="0.25">
      <c r="H42" t="e">
        <f ca="1"/>
        <v>#NAME?</v>
      </c>
      <c r="I42" s="155" t="e">
        <f ca="1"/>
        <v>#NAME?</v>
      </c>
    </row>
  </sheetData>
  <pageMargins left="0.7" right="0.7" top="0.75" bottom="0.75" header="0.3" footer="0.3"/>
  <pageSetup paperSize="9" orientation="landscape" r:id="rId1"/>
  <drawing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100"/>
  <sheetViews>
    <sheetView workbookViewId="0"/>
  </sheetViews>
  <sheetFormatPr defaultRowHeight="15" x14ac:dyDescent="0.25"/>
  <cols>
    <col min="1" max="1" width="15.85546875" customWidth="1"/>
    <col min="2" max="2" width="6.7109375" customWidth="1"/>
  </cols>
  <sheetData>
    <row r="1" spans="1:6" x14ac:dyDescent="0.25">
      <c r="A1" s="1" t="s">
        <v>149</v>
      </c>
    </row>
    <row r="2" spans="1:6" x14ac:dyDescent="0.25">
      <c r="A2" s="1"/>
    </row>
    <row r="3" spans="1:6" x14ac:dyDescent="0.25">
      <c r="A3" s="1" t="s">
        <v>150</v>
      </c>
    </row>
    <row r="4" spans="1:6" x14ac:dyDescent="0.25">
      <c r="A4" s="1"/>
    </row>
    <row r="11" spans="1:6" x14ac:dyDescent="0.25">
      <c r="A11" t="s">
        <v>151</v>
      </c>
      <c r="C11">
        <v>1</v>
      </c>
      <c r="D11">
        <v>5</v>
      </c>
      <c r="E11">
        <v>10</v>
      </c>
      <c r="F11">
        <v>30</v>
      </c>
    </row>
    <row r="12" spans="1:6" x14ac:dyDescent="0.25">
      <c r="A12" t="s">
        <v>152</v>
      </c>
      <c r="C12">
        <f>(C11+1)/2</f>
        <v>1</v>
      </c>
      <c r="D12">
        <f>(D11+1)/2</f>
        <v>3</v>
      </c>
      <c r="E12">
        <f>(E11+1)/2</f>
        <v>5.5</v>
      </c>
      <c r="F12">
        <f>(F11+1)/2</f>
        <v>15.5</v>
      </c>
    </row>
    <row r="13" spans="1:6" x14ac:dyDescent="0.25">
      <c r="A13" t="s">
        <v>153</v>
      </c>
      <c r="C13">
        <f>C11/2</f>
        <v>0.5</v>
      </c>
      <c r="D13">
        <f>D11/2</f>
        <v>2.5</v>
      </c>
      <c r="E13">
        <f>E11/2</f>
        <v>5</v>
      </c>
      <c r="F13">
        <f>F11/2</f>
        <v>15</v>
      </c>
    </row>
    <row r="14" spans="1:6" x14ac:dyDescent="0.25">
      <c r="A14" t="s">
        <v>154</v>
      </c>
      <c r="C14">
        <f t="shared" ref="C14:F15" si="0">EXP(-1)/GAMMADIST(1,C12,1,FALSE)</f>
        <v>1</v>
      </c>
      <c r="D14">
        <f t="shared" si="0"/>
        <v>2</v>
      </c>
      <c r="E14">
        <f t="shared" si="0"/>
        <v>52.342777784553491</v>
      </c>
      <c r="F14">
        <f t="shared" si="0"/>
        <v>334838609873.55664</v>
      </c>
    </row>
    <row r="15" spans="1:6" x14ac:dyDescent="0.25">
      <c r="A15" t="s">
        <v>155</v>
      </c>
      <c r="C15">
        <f t="shared" si="0"/>
        <v>1.7724538509055161</v>
      </c>
      <c r="D15">
        <f t="shared" si="0"/>
        <v>1.329340388179137</v>
      </c>
      <c r="E15">
        <f t="shared" si="0"/>
        <v>23.999999999999996</v>
      </c>
      <c r="F15">
        <f t="shared" si="0"/>
        <v>87178291200.000198</v>
      </c>
    </row>
    <row r="16" spans="1:6" x14ac:dyDescent="0.25">
      <c r="A16" t="s">
        <v>156</v>
      </c>
      <c r="C16">
        <f>SQRT(PI()*C11)</f>
        <v>1.7724538509055159</v>
      </c>
      <c r="D16">
        <f>SQRT(PI()*D11)</f>
        <v>3.963327297606011</v>
      </c>
      <c r="E16">
        <f>SQRT(PI()*E11)</f>
        <v>5.604991216397929</v>
      </c>
      <c r="F16">
        <f>SQRT(PI()*F11)</f>
        <v>9.7081295627784954</v>
      </c>
    </row>
    <row r="17" spans="1:7" x14ac:dyDescent="0.25">
      <c r="A17" t="s">
        <v>157</v>
      </c>
      <c r="C17">
        <f>C14/(C15*C16)</f>
        <v>0.31830988618379069</v>
      </c>
      <c r="D17">
        <f>D14/(D15*D16)</f>
        <v>0.3796066898224944</v>
      </c>
      <c r="E17">
        <f>E14/(E15*E16)</f>
        <v>0.38910838396603087</v>
      </c>
      <c r="F17">
        <f>F14/(F15*F16)</f>
        <v>0.39563218489409713</v>
      </c>
    </row>
    <row r="19" spans="1:7" x14ac:dyDescent="0.25">
      <c r="B19" s="19" t="s">
        <v>28</v>
      </c>
      <c r="C19" s="19">
        <f>C12</f>
        <v>1</v>
      </c>
      <c r="D19">
        <f>D11</f>
        <v>5</v>
      </c>
      <c r="E19">
        <f>E11</f>
        <v>10</v>
      </c>
      <c r="F19">
        <f>F11</f>
        <v>30</v>
      </c>
      <c r="G19" s="19" t="s">
        <v>158</v>
      </c>
    </row>
    <row r="20" spans="1:7" x14ac:dyDescent="0.25">
      <c r="B20" s="52">
        <v>-4</v>
      </c>
      <c r="C20">
        <f t="shared" ref="C20:E83" si="1">C$17/(1+$B20^2/C$11)^C$12</f>
        <v>1.8724110951987689E-2</v>
      </c>
      <c r="D20">
        <f>D$17/(1+$B20^2/D$11)^D$12</f>
        <v>5.1237270519179133E-3</v>
      </c>
      <c r="E20">
        <f>E$17/(1+$B20^2/E$11)^E$12</f>
        <v>2.0310339110412149E-3</v>
      </c>
      <c r="F20">
        <f t="shared" ref="F20:F83" si="2">F$17/(1+$B20^2/F$11)^F$12</f>
        <v>5.2471644019740755E-4</v>
      </c>
      <c r="G20">
        <f>NORMDIST(B20,0,1,FALSE)</f>
        <v>1.3383022576488537E-4</v>
      </c>
    </row>
    <row r="21" spans="1:7" x14ac:dyDescent="0.25">
      <c r="B21" s="52">
        <f>B20+0.1</f>
        <v>-3.9</v>
      </c>
      <c r="C21">
        <f t="shared" si="1"/>
        <v>1.9636637025526878E-2</v>
      </c>
      <c r="D21">
        <f t="shared" si="1"/>
        <v>5.7483728547693983E-3</v>
      </c>
      <c r="E21">
        <f t="shared" si="1"/>
        <v>2.4066888019954893E-3</v>
      </c>
      <c r="F21">
        <f t="shared" si="2"/>
        <v>6.8633509016922641E-4</v>
      </c>
      <c r="G21">
        <f t="shared" ref="G21:G84" si="3">NORMDIST(B21,0,1,FALSE)</f>
        <v>1.9865547139277272E-4</v>
      </c>
    </row>
    <row r="22" spans="1:7" x14ac:dyDescent="0.25">
      <c r="B22" s="52">
        <f t="shared" ref="B22:B59" si="4">B21+0.1</f>
        <v>-3.8</v>
      </c>
      <c r="C22">
        <f t="shared" si="1"/>
        <v>2.0615925270970899E-2</v>
      </c>
      <c r="D22">
        <f t="shared" si="1"/>
        <v>6.4588483643698387E-3</v>
      </c>
      <c r="E22">
        <f t="shared" si="1"/>
        <v>2.8543943946096055E-3</v>
      </c>
      <c r="F22">
        <f t="shared" si="2"/>
        <v>8.9572208725848576E-4</v>
      </c>
      <c r="G22">
        <f t="shared" si="3"/>
        <v>2.9194692579146027E-4</v>
      </c>
    </row>
    <row r="23" spans="1:7" x14ac:dyDescent="0.25">
      <c r="B23" s="52">
        <f t="shared" si="4"/>
        <v>-3.6999999999999997</v>
      </c>
      <c r="C23">
        <f t="shared" si="1"/>
        <v>2.1668474212647431E-2</v>
      </c>
      <c r="D23">
        <f t="shared" si="1"/>
        <v>7.2680175325693973E-3</v>
      </c>
      <c r="E23">
        <f t="shared" si="1"/>
        <v>3.3881509779624024E-3</v>
      </c>
      <c r="F23">
        <f t="shared" si="2"/>
        <v>1.1661364480637605E-3</v>
      </c>
      <c r="G23">
        <f t="shared" si="3"/>
        <v>4.2478027055075219E-4</v>
      </c>
    </row>
    <row r="24" spans="1:7" x14ac:dyDescent="0.25">
      <c r="B24" s="52">
        <f t="shared" si="4"/>
        <v>-3.5999999999999996</v>
      </c>
      <c r="C24">
        <f t="shared" si="1"/>
        <v>2.2801567778208506E-2</v>
      </c>
      <c r="D24">
        <f t="shared" si="1"/>
        <v>8.1907726871290592E-3</v>
      </c>
      <c r="E24">
        <f t="shared" si="1"/>
        <v>4.0246232150294705E-3</v>
      </c>
      <c r="F24">
        <f t="shared" si="2"/>
        <v>1.5141706922918094E-3</v>
      </c>
      <c r="G24">
        <f t="shared" si="3"/>
        <v>6.1190193011377298E-4</v>
      </c>
    </row>
    <row r="25" spans="1:7" x14ac:dyDescent="0.25">
      <c r="B25" s="52">
        <f t="shared" si="4"/>
        <v>-3.4999999999999996</v>
      </c>
      <c r="C25">
        <f t="shared" si="1"/>
        <v>2.4023387636512513E-2</v>
      </c>
      <c r="D25">
        <f t="shared" si="1"/>
        <v>9.2443540925209264E-3</v>
      </c>
      <c r="E25">
        <f t="shared" si="1"/>
        <v>4.783607126701327E-3</v>
      </c>
      <c r="F25">
        <f t="shared" si="2"/>
        <v>1.9604555808020933E-3</v>
      </c>
      <c r="G25">
        <f t="shared" si="3"/>
        <v>8.7268269504576167E-4</v>
      </c>
    </row>
    <row r="26" spans="1:7" x14ac:dyDescent="0.25">
      <c r="B26" s="52">
        <f t="shared" si="4"/>
        <v>-3.3999999999999995</v>
      </c>
      <c r="C26">
        <f t="shared" si="1"/>
        <v>2.5343143804441939E-2</v>
      </c>
      <c r="D26">
        <f t="shared" si="1"/>
        <v>1.0448714749395216E-2</v>
      </c>
      <c r="E26">
        <f t="shared" si="1"/>
        <v>5.6885611066299314E-3</v>
      </c>
      <c r="F26">
        <f t="shared" si="2"/>
        <v>2.5304642724106618E-3</v>
      </c>
      <c r="G26">
        <f t="shared" si="3"/>
        <v>1.232219168473021E-3</v>
      </c>
    </row>
    <row r="27" spans="1:7" x14ac:dyDescent="0.25">
      <c r="B27" s="52">
        <f t="shared" si="4"/>
        <v>-3.2999999999999994</v>
      </c>
      <c r="C27">
        <f t="shared" si="1"/>
        <v>2.6771226760621599E-2</v>
      </c>
      <c r="D27">
        <f t="shared" si="1"/>
        <v>1.1826934151171177E-2</v>
      </c>
      <c r="E27">
        <f t="shared" si="1"/>
        <v>6.7672024406869426E-3</v>
      </c>
      <c r="F27">
        <f t="shared" si="2"/>
        <v>3.2554111678475797E-3</v>
      </c>
      <c r="G27">
        <f t="shared" si="3"/>
        <v>1.7225689390536843E-3</v>
      </c>
    </row>
    <row r="28" spans="1:7" x14ac:dyDescent="0.25">
      <c r="B28" s="52">
        <f t="shared" si="4"/>
        <v>-3.1999999999999993</v>
      </c>
      <c r="C28">
        <f t="shared" si="1"/>
        <v>2.8319384891796338E-2</v>
      </c>
      <c r="D28">
        <f t="shared" si="1"/>
        <v>1.3405683736328894E-2</v>
      </c>
      <c r="E28">
        <f t="shared" si="1"/>
        <v>8.0521673723421717E-3</v>
      </c>
      <c r="F28">
        <f t="shared" si="2"/>
        <v>4.1732316830005254E-3</v>
      </c>
      <c r="G28">
        <f t="shared" si="3"/>
        <v>2.3840882014648486E-3</v>
      </c>
    </row>
    <row r="29" spans="1:7" x14ac:dyDescent="0.25">
      <c r="B29" s="52">
        <f t="shared" si="4"/>
        <v>-3.0999999999999992</v>
      </c>
      <c r="C29">
        <f t="shared" si="1"/>
        <v>3.0000931779810634E-2</v>
      </c>
      <c r="D29">
        <f t="shared" si="1"/>
        <v>1.5215745044952832E-2</v>
      </c>
      <c r="E29">
        <f t="shared" si="1"/>
        <v>9.5817276708977366E-3</v>
      </c>
      <c r="F29">
        <f t="shared" si="2"/>
        <v>5.3296170578658137E-3</v>
      </c>
      <c r="G29">
        <f t="shared" si="3"/>
        <v>3.2668190561999273E-3</v>
      </c>
    </row>
    <row r="30" spans="1:7" x14ac:dyDescent="0.25">
      <c r="B30" s="52">
        <f t="shared" si="4"/>
        <v>-2.9999999999999991</v>
      </c>
      <c r="C30">
        <f t="shared" si="1"/>
        <v>3.1830988618379089E-2</v>
      </c>
      <c r="D30">
        <f t="shared" si="1"/>
        <v>1.7292578800222981E-2</v>
      </c>
      <c r="E30">
        <f t="shared" si="1"/>
        <v>1.1400549464542539E-2</v>
      </c>
      <c r="F30">
        <f t="shared" si="2"/>
        <v>6.7790627460931081E-3</v>
      </c>
      <c r="G30">
        <f t="shared" si="3"/>
        <v>4.4318484119380188E-3</v>
      </c>
    </row>
    <row r="31" spans="1:7" x14ac:dyDescent="0.25">
      <c r="B31" s="52">
        <f t="shared" si="4"/>
        <v>-2.899999999999999</v>
      </c>
      <c r="C31">
        <f t="shared" si="1"/>
        <v>3.3826767926013905E-2</v>
      </c>
      <c r="D31">
        <f t="shared" si="1"/>
        <v>1.9676938890598534E-2</v>
      </c>
      <c r="E31">
        <f t="shared" si="1"/>
        <v>1.3560470295244938E-2</v>
      </c>
      <c r="F31">
        <f t="shared" si="2"/>
        <v>8.5858698631407163E-3</v>
      </c>
      <c r="G31">
        <f t="shared" si="3"/>
        <v>5.9525324197758694E-3</v>
      </c>
    </row>
    <row r="32" spans="1:7" x14ac:dyDescent="0.25">
      <c r="B32" s="52">
        <f t="shared" si="4"/>
        <v>-2.7999999999999989</v>
      </c>
      <c r="C32">
        <f t="shared" si="1"/>
        <v>3.6007905676899432E-2</v>
      </c>
      <c r="D32">
        <f t="shared" si="1"/>
        <v>2.2415519021677287E-2</v>
      </c>
      <c r="E32">
        <f t="shared" si="1"/>
        <v>1.6121257439422165E-2</v>
      </c>
      <c r="F32">
        <f t="shared" si="2"/>
        <v>1.0825016893845324E-2</v>
      </c>
      <c r="G32">
        <f t="shared" si="3"/>
        <v>7.9154515829799894E-3</v>
      </c>
    </row>
    <row r="33" spans="2:7" x14ac:dyDescent="0.25">
      <c r="B33" s="52">
        <f t="shared" si="4"/>
        <v>-2.6999999999999988</v>
      </c>
      <c r="C33">
        <f t="shared" si="1"/>
        <v>3.8396849961856563E-2</v>
      </c>
      <c r="D33">
        <f t="shared" si="1"/>
        <v>2.5561611020544595E-2</v>
      </c>
      <c r="E33">
        <f t="shared" si="1"/>
        <v>1.9151294092491021E-2</v>
      </c>
      <c r="F33">
        <f t="shared" si="2"/>
        <v>1.3582794199685933E-2</v>
      </c>
      <c r="G33">
        <f t="shared" si="3"/>
        <v>1.0420934814422628E-2</v>
      </c>
    </row>
    <row r="34" spans="2:7" x14ac:dyDescent="0.25">
      <c r="B34" s="52">
        <f t="shared" si="4"/>
        <v>-2.5999999999999988</v>
      </c>
      <c r="C34">
        <f t="shared" si="1"/>
        <v>4.1019315229869971E-2</v>
      </c>
      <c r="D34">
        <f t="shared" si="1"/>
        <v>2.9175741685939342E-2</v>
      </c>
      <c r="E34">
        <f t="shared" si="1"/>
        <v>2.2728119798465004E-2</v>
      </c>
      <c r="F34">
        <f t="shared" si="2"/>
        <v>1.6957068343387567E-2</v>
      </c>
      <c r="G34">
        <f t="shared" si="3"/>
        <v>1.3582969233685661E-2</v>
      </c>
    </row>
    <row r="35" spans="2:7" x14ac:dyDescent="0.25">
      <c r="B35" s="52">
        <f t="shared" si="4"/>
        <v>-2.4999999999999987</v>
      </c>
      <c r="C35">
        <f t="shared" si="1"/>
        <v>4.3904811887419445E-2</v>
      </c>
      <c r="D35">
        <f t="shared" si="1"/>
        <v>3.3326238887022894E-2</v>
      </c>
      <c r="E35">
        <f t="shared" si="1"/>
        <v>2.6938727628244515E-2</v>
      </c>
      <c r="F35">
        <f t="shared" si="2"/>
        <v>2.105701922062168E-2</v>
      </c>
      <c r="G35">
        <f t="shared" si="3"/>
        <v>1.7528300493568599E-2</v>
      </c>
    </row>
    <row r="36" spans="2:7" x14ac:dyDescent="0.25">
      <c r="B36" s="52">
        <f t="shared" si="4"/>
        <v>-2.3999999999999986</v>
      </c>
      <c r="C36">
        <f t="shared" si="1"/>
        <v>4.7087261269791569E-2</v>
      </c>
      <c r="D36">
        <f t="shared" si="1"/>
        <v>3.8089656526432016E-2</v>
      </c>
      <c r="E36">
        <f t="shared" si="1"/>
        <v>3.1879493750030623E-2</v>
      </c>
      <c r="F36">
        <f t="shared" si="2"/>
        <v>2.6002173732796927E-2</v>
      </c>
      <c r="G36">
        <f t="shared" si="3"/>
        <v>2.2394530294842969E-2</v>
      </c>
    </row>
    <row r="37" spans="2:7" x14ac:dyDescent="0.25">
      <c r="B37" s="52">
        <f t="shared" si="4"/>
        <v>-2.2999999999999985</v>
      </c>
      <c r="C37">
        <f t="shared" si="1"/>
        <v>5.0605705275642454E-2</v>
      </c>
      <c r="D37">
        <f t="shared" si="1"/>
        <v>4.3550961350440079E-2</v>
      </c>
      <c r="E37">
        <f t="shared" si="1"/>
        <v>3.7655586709753462E-2</v>
      </c>
      <c r="F37">
        <f t="shared" si="2"/>
        <v>3.1920549432000254E-2</v>
      </c>
      <c r="G37">
        <f t="shared" si="3"/>
        <v>2.8327037741601276E-2</v>
      </c>
    </row>
    <row r="38" spans="2:7" x14ac:dyDescent="0.25">
      <c r="B38" s="52">
        <f t="shared" si="4"/>
        <v>-2.1999999999999984</v>
      </c>
      <c r="C38">
        <f t="shared" si="1"/>
        <v>5.4505117497224503E-2</v>
      </c>
      <c r="D38">
        <f t="shared" si="1"/>
        <v>4.9803352151145203E-2</v>
      </c>
      <c r="E38">
        <f t="shared" si="1"/>
        <v>4.4379676614245793E-2</v>
      </c>
      <c r="F38">
        <f t="shared" si="2"/>
        <v>3.8945725132978802E-2</v>
      </c>
      <c r="G38">
        <f t="shared" si="3"/>
        <v>3.547459284623157E-2</v>
      </c>
    </row>
    <row r="39" spans="2:7" x14ac:dyDescent="0.25">
      <c r="B39" s="52">
        <f t="shared" si="4"/>
        <v>-2.0999999999999983</v>
      </c>
      <c r="C39">
        <f t="shared" si="1"/>
        <v>5.8837317224360648E-2</v>
      </c>
      <c r="D39">
        <f t="shared" si="1"/>
        <v>5.6947544172170676E-2</v>
      </c>
      <c r="E39">
        <f t="shared" si="1"/>
        <v>5.216974260435512E-2</v>
      </c>
      <c r="F39">
        <f t="shared" si="2"/>
        <v>4.7212678193653324E-2</v>
      </c>
      <c r="G39">
        <f t="shared" si="3"/>
        <v>4.3983595980427351E-2</v>
      </c>
    </row>
    <row r="40" spans="2:7" x14ac:dyDescent="0.25">
      <c r="B40" s="52">
        <f t="shared" si="4"/>
        <v>-1.9999999999999982</v>
      </c>
      <c r="C40">
        <f t="shared" si="1"/>
        <v>6.3661977236758233E-2</v>
      </c>
      <c r="D40">
        <f t="shared" si="1"/>
        <v>6.5090310326216635E-2</v>
      </c>
      <c r="E40">
        <f t="shared" si="1"/>
        <v>6.1145766321218327E-2</v>
      </c>
      <c r="F40">
        <f t="shared" si="2"/>
        <v>5.6852275047198066E-2</v>
      </c>
      <c r="G40">
        <f t="shared" si="3"/>
        <v>5.399096651318825E-2</v>
      </c>
    </row>
    <row r="41" spans="2:7" x14ac:dyDescent="0.25">
      <c r="B41" s="52">
        <f t="shared" si="4"/>
        <v>-1.8999999999999981</v>
      </c>
      <c r="C41">
        <f t="shared" si="1"/>
        <v>6.9047697653750809E-2</v>
      </c>
      <c r="D41">
        <f t="shared" si="1"/>
        <v>7.4342030033196366E-2</v>
      </c>
      <c r="E41">
        <f t="shared" si="1"/>
        <v>7.1425107032802609E-2</v>
      </c>
      <c r="F41">
        <f t="shared" si="2"/>
        <v>6.7984376569213356E-2</v>
      </c>
      <c r="G41">
        <f t="shared" si="3"/>
        <v>6.5615814774676831E-2</v>
      </c>
    </row>
    <row r="42" spans="2:7" x14ac:dyDescent="0.25">
      <c r="B42" s="52">
        <f t="shared" si="4"/>
        <v>-1.799999999999998</v>
      </c>
      <c r="C42">
        <f t="shared" si="1"/>
        <v>7.5073086364101704E-2</v>
      </c>
      <c r="D42">
        <f t="shared" si="1"/>
        <v>8.481296289690396E-2</v>
      </c>
      <c r="E42">
        <f t="shared" si="1"/>
        <v>8.3116389653879769E-2</v>
      </c>
      <c r="F42">
        <f t="shared" si="2"/>
        <v>8.0709624798490739E-2</v>
      </c>
      <c r="G42">
        <f t="shared" si="3"/>
        <v>7.8950158300894427E-2</v>
      </c>
    </row>
    <row r="43" spans="2:7" x14ac:dyDescent="0.25">
      <c r="B43" s="52">
        <f t="shared" si="4"/>
        <v>-1.699999999999998</v>
      </c>
      <c r="C43">
        <f t="shared" si="1"/>
        <v>8.1827734237478481E-2</v>
      </c>
      <c r="D43">
        <f t="shared" si="1"/>
        <v>9.6607948713912054E-2</v>
      </c>
      <c r="E43">
        <f t="shared" si="1"/>
        <v>9.6311809633229564E-2</v>
      </c>
      <c r="F43">
        <f t="shared" si="2"/>
        <v>9.5100110953271741E-2</v>
      </c>
      <c r="G43">
        <f t="shared" si="3"/>
        <v>9.4049077376887252E-2</v>
      </c>
    </row>
    <row r="44" spans="2:7" x14ac:dyDescent="0.25">
      <c r="B44" s="52">
        <f t="shared" si="4"/>
        <v>-1.5999999999999979</v>
      </c>
      <c r="C44">
        <f t="shared" si="1"/>
        <v>8.9412889377469468E-2</v>
      </c>
      <c r="D44">
        <f t="shared" si="1"/>
        <v>0.10981925265599124</v>
      </c>
      <c r="E44">
        <f t="shared" si="1"/>
        <v>0.11107787729698358</v>
      </c>
      <c r="F44">
        <f t="shared" si="2"/>
        <v>0.11118928083310917</v>
      </c>
      <c r="G44">
        <f t="shared" si="3"/>
        <v>0.11092083467945592</v>
      </c>
    </row>
    <row r="45" spans="2:7" x14ac:dyDescent="0.25">
      <c r="B45" s="52">
        <f t="shared" si="4"/>
        <v>-1.4999999999999978</v>
      </c>
      <c r="C45">
        <f t="shared" si="1"/>
        <v>9.7941503441166561E-2</v>
      </c>
      <c r="D45">
        <f t="shared" si="1"/>
        <v>0.12451734464635547</v>
      </c>
      <c r="E45">
        <f t="shared" si="1"/>
        <v>0.12744479428709199</v>
      </c>
      <c r="F45">
        <f t="shared" si="2"/>
        <v>0.12896160173967205</v>
      </c>
      <c r="G45">
        <f t="shared" si="3"/>
        <v>0.12951759566589216</v>
      </c>
    </row>
    <row r="46" spans="2:7" x14ac:dyDescent="0.25">
      <c r="B46" s="52">
        <f t="shared" si="4"/>
        <v>-1.3999999999999977</v>
      </c>
      <c r="C46">
        <f t="shared" si="1"/>
        <v>0.10753712371074033</v>
      </c>
      <c r="D46">
        <f t="shared" si="1"/>
        <v>0.140739547894915</v>
      </c>
      <c r="E46">
        <f t="shared" si="1"/>
        <v>0.14539487566000653</v>
      </c>
      <c r="F46">
        <f t="shared" si="2"/>
        <v>0.14834267891674183</v>
      </c>
      <c r="G46">
        <f t="shared" si="3"/>
        <v>0.14972746563574535</v>
      </c>
    </row>
    <row r="47" spans="2:7" x14ac:dyDescent="0.25">
      <c r="B47" s="52">
        <f t="shared" si="4"/>
        <v>-1.2999999999999976</v>
      </c>
      <c r="C47">
        <f t="shared" si="1"/>
        <v>0.11833081270772916</v>
      </c>
      <c r="D47">
        <f t="shared" si="1"/>
        <v>0.15847673572898288</v>
      </c>
      <c r="E47">
        <f t="shared" si="1"/>
        <v>0.16485069296801974</v>
      </c>
      <c r="F47">
        <f t="shared" si="2"/>
        <v>0.16919064854071325</v>
      </c>
      <c r="G47">
        <f t="shared" si="3"/>
        <v>0.17136859204780791</v>
      </c>
    </row>
    <row r="48" spans="2:7" x14ac:dyDescent="0.25">
      <c r="B48" s="52">
        <f t="shared" si="4"/>
        <v>-1.1999999999999975</v>
      </c>
      <c r="C48">
        <f t="shared" si="1"/>
        <v>0.13045487138679979</v>
      </c>
      <c r="D48">
        <f t="shared" si="1"/>
        <v>0.17765861346493592</v>
      </c>
      <c r="E48">
        <f t="shared" si="1"/>
        <v>0.18566389362670357</v>
      </c>
      <c r="F48">
        <f t="shared" si="2"/>
        <v>0.1912897649059872</v>
      </c>
      <c r="G48">
        <f t="shared" si="3"/>
        <v>0.19418605498321354</v>
      </c>
    </row>
    <row r="49" spans="2:7" x14ac:dyDescent="0.25">
      <c r="B49" s="52">
        <f t="shared" si="4"/>
        <v>-1.0999999999999974</v>
      </c>
      <c r="C49">
        <f t="shared" si="1"/>
        <v>0.14403162270759795</v>
      </c>
      <c r="D49">
        <f t="shared" si="1"/>
        <v>0.19813859080334678</v>
      </c>
      <c r="E49">
        <f t="shared" si="1"/>
        <v>0.20760591316421437</v>
      </c>
      <c r="F49">
        <f t="shared" si="2"/>
        <v>0.21434711785664093</v>
      </c>
      <c r="G49">
        <f t="shared" si="3"/>
        <v>0.21785217703255116</v>
      </c>
    </row>
    <row r="50" spans="2:7" x14ac:dyDescent="0.25">
      <c r="B50" s="52">
        <f t="shared" si="4"/>
        <v>-0.99999999999999745</v>
      </c>
      <c r="C50">
        <f t="shared" si="1"/>
        <v>0.15915494309189576</v>
      </c>
      <c r="D50">
        <f t="shared" si="1"/>
        <v>0.21967979735098106</v>
      </c>
      <c r="E50">
        <f t="shared" si="1"/>
        <v>0.2303619892291392</v>
      </c>
      <c r="F50">
        <f t="shared" si="2"/>
        <v>0.23799334232287989</v>
      </c>
      <c r="G50">
        <f t="shared" si="3"/>
        <v>0.24197072451914398</v>
      </c>
    </row>
    <row r="51" spans="2:7" x14ac:dyDescent="0.25">
      <c r="B51" s="52">
        <f t="shared" si="4"/>
        <v>-0.89999999999999747</v>
      </c>
      <c r="C51">
        <f t="shared" si="1"/>
        <v>0.17586181557115552</v>
      </c>
      <c r="D51">
        <f t="shared" si="1"/>
        <v>0.24194434361359041</v>
      </c>
      <c r="E51">
        <f t="shared" si="1"/>
        <v>0.25352995055982802</v>
      </c>
      <c r="F51">
        <f t="shared" si="2"/>
        <v>0.26178800210082603</v>
      </c>
      <c r="G51">
        <f t="shared" si="3"/>
        <v>0.26608524989875543</v>
      </c>
    </row>
    <row r="52" spans="2:7" x14ac:dyDescent="0.25">
      <c r="B52" s="52">
        <f t="shared" si="4"/>
        <v>-0.79999999999999749</v>
      </c>
      <c r="C52">
        <f t="shared" si="1"/>
        <v>0.19409139401450698</v>
      </c>
      <c r="D52">
        <f t="shared" si="1"/>
        <v>0.26448835680795801</v>
      </c>
      <c r="E52">
        <f t="shared" si="1"/>
        <v>0.27662513233825686</v>
      </c>
      <c r="F52">
        <f t="shared" si="2"/>
        <v>0.28523004321112261</v>
      </c>
      <c r="G52">
        <f t="shared" si="3"/>
        <v>0.28969155276148334</v>
      </c>
    </row>
    <row r="53" spans="2:7" x14ac:dyDescent="0.25">
      <c r="B53" s="52">
        <f t="shared" si="4"/>
        <v>-0.69999999999999751</v>
      </c>
      <c r="C53">
        <f t="shared" si="1"/>
        <v>0.21363079609650434</v>
      </c>
      <c r="D53">
        <f t="shared" si="1"/>
        <v>0.28676545757669847</v>
      </c>
      <c r="E53">
        <f t="shared" si="1"/>
        <v>0.29909241773685297</v>
      </c>
      <c r="F53">
        <f t="shared" si="2"/>
        <v>0.30777333104241572</v>
      </c>
      <c r="G53">
        <f t="shared" si="3"/>
        <v>0.31225393336676183</v>
      </c>
    </row>
    <row r="54" spans="2:7" x14ac:dyDescent="0.25">
      <c r="B54" s="52">
        <f t="shared" si="4"/>
        <v>-0.59999999999999754</v>
      </c>
      <c r="C54">
        <f t="shared" si="1"/>
        <v>0.23405138689984661</v>
      </c>
      <c r="D54">
        <f t="shared" si="1"/>
        <v>0.3081410097234204</v>
      </c>
      <c r="E54">
        <f t="shared" si="1"/>
        <v>0.32032581052912468</v>
      </c>
      <c r="F54">
        <f t="shared" si="2"/>
        <v>0.32884683826851979</v>
      </c>
      <c r="G54">
        <f t="shared" si="3"/>
        <v>0.33322460289180011</v>
      </c>
    </row>
    <row r="55" spans="2:7" x14ac:dyDescent="0.25">
      <c r="B55" s="52">
        <f t="shared" si="4"/>
        <v>-0.49999999999999756</v>
      </c>
      <c r="C55">
        <f t="shared" si="1"/>
        <v>0.25464790894703304</v>
      </c>
      <c r="D55">
        <f t="shared" si="1"/>
        <v>0.3279185313227469</v>
      </c>
      <c r="E55">
        <f t="shared" si="1"/>
        <v>0.33969513635207821</v>
      </c>
      <c r="F55">
        <f t="shared" si="2"/>
        <v>0.34787857969720415</v>
      </c>
      <c r="G55">
        <f t="shared" si="3"/>
        <v>0.35206532676429991</v>
      </c>
    </row>
    <row r="56" spans="2:7" x14ac:dyDescent="0.25">
      <c r="B56" s="52">
        <f t="shared" si="4"/>
        <v>-0.39999999999999758</v>
      </c>
      <c r="C56">
        <f t="shared" si="1"/>
        <v>0.27440507429637173</v>
      </c>
      <c r="D56">
        <f t="shared" si="1"/>
        <v>0.34537807575273377</v>
      </c>
      <c r="E56">
        <f t="shared" si="1"/>
        <v>0.35657853369790415</v>
      </c>
      <c r="F56">
        <f t="shared" si="2"/>
        <v>0.36432194852885696</v>
      </c>
      <c r="G56">
        <f t="shared" si="3"/>
        <v>0.36827014030332367</v>
      </c>
    </row>
    <row r="57" spans="2:7" x14ac:dyDescent="0.25">
      <c r="B57" s="52">
        <f t="shared" si="4"/>
        <v>-0.2999999999999976</v>
      </c>
      <c r="C57">
        <f t="shared" si="1"/>
        <v>0.29202741851723957</v>
      </c>
      <c r="D57">
        <f t="shared" si="1"/>
        <v>0.3598243283490099</v>
      </c>
      <c r="E57">
        <f t="shared" si="1"/>
        <v>0.37039846155274542</v>
      </c>
      <c r="F57">
        <f t="shared" si="2"/>
        <v>0.37768275260924272</v>
      </c>
      <c r="G57">
        <f t="shared" si="3"/>
        <v>0.38138781546052442</v>
      </c>
    </row>
    <row r="58" spans="2:7" x14ac:dyDescent="0.25">
      <c r="B58" s="52">
        <f t="shared" si="4"/>
        <v>-0.1999999999999976</v>
      </c>
      <c r="C58">
        <f t="shared" si="1"/>
        <v>0.30606719825364515</v>
      </c>
      <c r="D58">
        <f t="shared" si="1"/>
        <v>0.37063997771396967</v>
      </c>
      <c r="E58">
        <f t="shared" si="1"/>
        <v>0.38065818105444899</v>
      </c>
      <c r="F58">
        <f t="shared" si="2"/>
        <v>0.3875450315448134</v>
      </c>
      <c r="G58">
        <f t="shared" si="3"/>
        <v>0.3910426939754561</v>
      </c>
    </row>
    <row r="59" spans="2:7" x14ac:dyDescent="0.25">
      <c r="B59" s="52">
        <f t="shared" si="4"/>
        <v>-9.9999999999997591E-2</v>
      </c>
      <c r="C59">
        <f t="shared" si="1"/>
        <v>0.31515830315226817</v>
      </c>
      <c r="D59">
        <f t="shared" si="1"/>
        <v>0.37733812996643123</v>
      </c>
      <c r="E59">
        <f t="shared" si="1"/>
        <v>0.38697522581518046</v>
      </c>
      <c r="F59">
        <f t="shared" si="2"/>
        <v>0.39359369563267887</v>
      </c>
      <c r="G59">
        <f t="shared" si="3"/>
        <v>0.39695254747701186</v>
      </c>
    </row>
    <row r="60" spans="2:7" x14ac:dyDescent="0.25">
      <c r="B60" s="52">
        <v>0</v>
      </c>
      <c r="C60">
        <f t="shared" si="1"/>
        <v>0.31830988618379069</v>
      </c>
      <c r="D60">
        <f t="shared" si="1"/>
        <v>0.3796066898224944</v>
      </c>
      <c r="E60">
        <f t="shared" si="1"/>
        <v>0.38910838396603087</v>
      </c>
      <c r="F60">
        <f t="shared" si="2"/>
        <v>0.39563218489409713</v>
      </c>
      <c r="G60">
        <f t="shared" si="3"/>
        <v>0.3989422804014327</v>
      </c>
    </row>
    <row r="61" spans="2:7" x14ac:dyDescent="0.25">
      <c r="B61" s="52">
        <f>B60+0.1</f>
        <v>0.1</v>
      </c>
      <c r="C61">
        <f t="shared" si="1"/>
        <v>0.315158303152268</v>
      </c>
      <c r="D61">
        <f t="shared" si="1"/>
        <v>0.37733812996643123</v>
      </c>
      <c r="E61">
        <f t="shared" si="1"/>
        <v>0.38697522581518046</v>
      </c>
      <c r="F61">
        <f t="shared" si="2"/>
        <v>0.39359369563267887</v>
      </c>
      <c r="G61">
        <f t="shared" si="3"/>
        <v>0.39695254747701181</v>
      </c>
    </row>
    <row r="62" spans="2:7" x14ac:dyDescent="0.25">
      <c r="B62" s="52">
        <f t="shared" ref="B62:B76" si="5">B61+0.1</f>
        <v>0.2</v>
      </c>
      <c r="C62">
        <f t="shared" si="1"/>
        <v>0.30606719825364487</v>
      </c>
      <c r="D62">
        <f t="shared" si="1"/>
        <v>0.37063997771396939</v>
      </c>
      <c r="E62">
        <f t="shared" si="1"/>
        <v>0.38065818105444899</v>
      </c>
      <c r="F62">
        <f t="shared" si="2"/>
        <v>0.3875450315448134</v>
      </c>
      <c r="G62">
        <f t="shared" si="3"/>
        <v>0.39104269397545588</v>
      </c>
    </row>
    <row r="63" spans="2:7" x14ac:dyDescent="0.25">
      <c r="B63" s="52">
        <f t="shared" si="5"/>
        <v>0.30000000000000004</v>
      </c>
      <c r="C63">
        <f t="shared" si="1"/>
        <v>0.29202741851723912</v>
      </c>
      <c r="D63">
        <f t="shared" si="1"/>
        <v>0.35982432834900968</v>
      </c>
      <c r="E63">
        <f t="shared" si="1"/>
        <v>0.37039846155274542</v>
      </c>
      <c r="F63">
        <f t="shared" si="2"/>
        <v>0.37768275260924272</v>
      </c>
      <c r="G63">
        <f t="shared" si="3"/>
        <v>0.38138781546052408</v>
      </c>
    </row>
    <row r="64" spans="2:7" x14ac:dyDescent="0.25">
      <c r="B64" s="52">
        <f t="shared" si="5"/>
        <v>0.4</v>
      </c>
      <c r="C64">
        <f t="shared" si="1"/>
        <v>0.27440507429637123</v>
      </c>
      <c r="D64">
        <f t="shared" si="1"/>
        <v>0.34537807575273338</v>
      </c>
      <c r="E64">
        <f t="shared" si="1"/>
        <v>0.35657853369790371</v>
      </c>
      <c r="F64">
        <f t="shared" si="2"/>
        <v>0.3643219485288558</v>
      </c>
      <c r="G64">
        <f t="shared" si="3"/>
        <v>0.36827014030332333</v>
      </c>
    </row>
    <row r="65" spans="2:7" x14ac:dyDescent="0.25">
      <c r="B65" s="52">
        <f t="shared" si="5"/>
        <v>0.5</v>
      </c>
      <c r="C65">
        <f t="shared" si="1"/>
        <v>0.25464790894703254</v>
      </c>
      <c r="D65">
        <f t="shared" si="1"/>
        <v>0.32791853132274645</v>
      </c>
      <c r="E65">
        <f t="shared" si="1"/>
        <v>0.33969513635207782</v>
      </c>
      <c r="F65">
        <f t="shared" si="2"/>
        <v>0.34787857969720415</v>
      </c>
      <c r="G65">
        <f t="shared" si="3"/>
        <v>0.35206532676429952</v>
      </c>
    </row>
    <row r="66" spans="2:7" x14ac:dyDescent="0.25">
      <c r="B66" s="52">
        <f t="shared" si="5"/>
        <v>0.6</v>
      </c>
      <c r="C66">
        <f t="shared" si="1"/>
        <v>0.23405138689984611</v>
      </c>
      <c r="D66">
        <f t="shared" si="1"/>
        <v>0.30814100972341979</v>
      </c>
      <c r="E66">
        <f t="shared" si="1"/>
        <v>0.32032581052912429</v>
      </c>
      <c r="F66">
        <f t="shared" si="2"/>
        <v>0.32884683826851979</v>
      </c>
      <c r="G66">
        <f t="shared" si="3"/>
        <v>0.33322460289179967</v>
      </c>
    </row>
    <row r="67" spans="2:7" x14ac:dyDescent="0.25">
      <c r="B67" s="52">
        <f t="shared" si="5"/>
        <v>0.7</v>
      </c>
      <c r="C67">
        <f t="shared" si="1"/>
        <v>0.21363079609650382</v>
      </c>
      <c r="D67">
        <f t="shared" si="1"/>
        <v>0.2867654575766978</v>
      </c>
      <c r="E67">
        <f t="shared" si="1"/>
        <v>0.29909241773685263</v>
      </c>
      <c r="F67">
        <f t="shared" si="2"/>
        <v>0.30777333104241572</v>
      </c>
      <c r="G67">
        <f t="shared" si="3"/>
        <v>0.31225393336676127</v>
      </c>
    </row>
    <row r="68" spans="2:7" x14ac:dyDescent="0.25">
      <c r="B68" s="52">
        <f t="shared" si="5"/>
        <v>0.79999999999999993</v>
      </c>
      <c r="C68">
        <f t="shared" si="1"/>
        <v>0.19409139401450654</v>
      </c>
      <c r="D68">
        <f t="shared" si="1"/>
        <v>0.26448835680795757</v>
      </c>
      <c r="E68">
        <f t="shared" si="1"/>
        <v>0.2766251323382562</v>
      </c>
      <c r="F68">
        <f t="shared" si="2"/>
        <v>0.28523004321112166</v>
      </c>
      <c r="G68">
        <f t="shared" si="3"/>
        <v>0.28969155276148278</v>
      </c>
    </row>
    <row r="69" spans="2:7" x14ac:dyDescent="0.25">
      <c r="B69" s="52">
        <f t="shared" si="5"/>
        <v>0.89999999999999991</v>
      </c>
      <c r="C69">
        <f t="shared" si="1"/>
        <v>0.1758618155711551</v>
      </c>
      <c r="D69">
        <f t="shared" si="1"/>
        <v>0.24194434361358985</v>
      </c>
      <c r="E69">
        <f t="shared" si="1"/>
        <v>0.25352995055982741</v>
      </c>
      <c r="F69">
        <f t="shared" si="2"/>
        <v>0.26178800210082603</v>
      </c>
      <c r="G69">
        <f t="shared" si="3"/>
        <v>0.26608524989875487</v>
      </c>
    </row>
    <row r="70" spans="2:7" x14ac:dyDescent="0.25">
      <c r="B70" s="52">
        <f t="shared" si="5"/>
        <v>0.99999999999999989</v>
      </c>
      <c r="C70">
        <f t="shared" si="1"/>
        <v>0.15915494309189537</v>
      </c>
      <c r="D70">
        <f t="shared" si="1"/>
        <v>0.21967979735098056</v>
      </c>
      <c r="E70">
        <f t="shared" si="1"/>
        <v>0.23036198922913848</v>
      </c>
      <c r="F70">
        <f t="shared" si="2"/>
        <v>0.23799334232287989</v>
      </c>
      <c r="G70">
        <f t="shared" si="3"/>
        <v>0.24197072451914342</v>
      </c>
    </row>
    <row r="71" spans="2:7" x14ac:dyDescent="0.25">
      <c r="B71" s="52">
        <f t="shared" si="5"/>
        <v>1.0999999999999999</v>
      </c>
      <c r="C71">
        <f t="shared" si="1"/>
        <v>0.14403162270759759</v>
      </c>
      <c r="D71">
        <f t="shared" si="1"/>
        <v>0.19813859080334623</v>
      </c>
      <c r="E71">
        <f t="shared" si="1"/>
        <v>0.20760591316421392</v>
      </c>
      <c r="F71">
        <f t="shared" si="2"/>
        <v>0.21434711785664021</v>
      </c>
      <c r="G71">
        <f t="shared" si="3"/>
        <v>0.21785217703255058</v>
      </c>
    </row>
    <row r="72" spans="2:7" x14ac:dyDescent="0.25">
      <c r="B72" s="52">
        <f t="shared" si="5"/>
        <v>1.2</v>
      </c>
      <c r="C72">
        <f t="shared" si="1"/>
        <v>0.13045487138679945</v>
      </c>
      <c r="D72">
        <f t="shared" si="1"/>
        <v>0.17765861346493544</v>
      </c>
      <c r="E72">
        <f t="shared" si="1"/>
        <v>0.18566389362670316</v>
      </c>
      <c r="F72">
        <f t="shared" si="2"/>
        <v>0.19128976490598656</v>
      </c>
      <c r="G72">
        <f t="shared" si="3"/>
        <v>0.19418605498321295</v>
      </c>
    </row>
    <row r="73" spans="2:7" x14ac:dyDescent="0.25">
      <c r="B73" s="52">
        <f t="shared" si="5"/>
        <v>1.3</v>
      </c>
      <c r="C73">
        <f t="shared" si="1"/>
        <v>0.11833081270772887</v>
      </c>
      <c r="D73">
        <f t="shared" si="1"/>
        <v>0.15847673572898241</v>
      </c>
      <c r="E73">
        <f t="shared" si="1"/>
        <v>0.16485069296801924</v>
      </c>
      <c r="F73">
        <f t="shared" si="2"/>
        <v>0.16919064854071267</v>
      </c>
      <c r="G73">
        <f t="shared" si="3"/>
        <v>0.17136859204780736</v>
      </c>
    </row>
    <row r="74" spans="2:7" x14ac:dyDescent="0.25">
      <c r="B74" s="52">
        <f t="shared" si="5"/>
        <v>1.4000000000000001</v>
      </c>
      <c r="C74">
        <f t="shared" si="1"/>
        <v>0.10753712371074009</v>
      </c>
      <c r="D74">
        <f t="shared" si="1"/>
        <v>0.14073954789491452</v>
      </c>
      <c r="E74">
        <f t="shared" si="1"/>
        <v>0.14539487566000608</v>
      </c>
      <c r="F74">
        <f t="shared" si="2"/>
        <v>0.14834267891674133</v>
      </c>
      <c r="G74">
        <f t="shared" si="3"/>
        <v>0.14972746563574482</v>
      </c>
    </row>
    <row r="75" spans="2:7" x14ac:dyDescent="0.25">
      <c r="B75" s="52">
        <f t="shared" si="5"/>
        <v>1.5000000000000002</v>
      </c>
      <c r="C75">
        <f t="shared" si="1"/>
        <v>9.7941503441166339E-2</v>
      </c>
      <c r="D75">
        <f t="shared" si="1"/>
        <v>0.12451734464635508</v>
      </c>
      <c r="E75">
        <f t="shared" si="1"/>
        <v>0.12744479428709157</v>
      </c>
      <c r="F75">
        <f t="shared" si="2"/>
        <v>0.12896160173967164</v>
      </c>
      <c r="G75">
        <f t="shared" si="3"/>
        <v>0.12951759566589166</v>
      </c>
    </row>
    <row r="76" spans="2:7" x14ac:dyDescent="0.25">
      <c r="B76" s="52">
        <f t="shared" si="5"/>
        <v>1.6000000000000003</v>
      </c>
      <c r="C76">
        <f t="shared" si="1"/>
        <v>8.9412889377469273E-2</v>
      </c>
      <c r="D76">
        <f t="shared" si="1"/>
        <v>0.10981925265599091</v>
      </c>
      <c r="E76">
        <f t="shared" si="1"/>
        <v>0.11107787729698315</v>
      </c>
      <c r="F76">
        <f t="shared" si="2"/>
        <v>0.11118928083310881</v>
      </c>
      <c r="G76">
        <f t="shared" si="3"/>
        <v>0.11092083467945553</v>
      </c>
    </row>
    <row r="77" spans="2:7" x14ac:dyDescent="0.25">
      <c r="B77" s="52">
        <f>B76+0.1</f>
        <v>1.7000000000000004</v>
      </c>
      <c r="C77">
        <f t="shared" si="1"/>
        <v>8.18277342374783E-2</v>
      </c>
      <c r="D77">
        <f t="shared" si="1"/>
        <v>9.6607948713911748E-2</v>
      </c>
      <c r="E77">
        <f t="shared" si="1"/>
        <v>9.6311809633229176E-2</v>
      </c>
      <c r="F77">
        <f t="shared" si="2"/>
        <v>9.5100110953271422E-2</v>
      </c>
      <c r="G77">
        <f t="shared" si="3"/>
        <v>9.4049077376886864E-2</v>
      </c>
    </row>
    <row r="78" spans="2:7" x14ac:dyDescent="0.25">
      <c r="B78" s="52">
        <f>B77+0.1</f>
        <v>1.8000000000000005</v>
      </c>
      <c r="C78">
        <f t="shared" si="1"/>
        <v>7.5073086364101538E-2</v>
      </c>
      <c r="D78">
        <f t="shared" si="1"/>
        <v>8.4812962896903682E-2</v>
      </c>
      <c r="E78">
        <f t="shared" si="1"/>
        <v>8.3116389653879449E-2</v>
      </c>
      <c r="F78">
        <f t="shared" si="2"/>
        <v>8.070962479849049E-2</v>
      </c>
      <c r="G78">
        <f t="shared" si="3"/>
        <v>7.8950158300894094E-2</v>
      </c>
    </row>
    <row r="79" spans="2:7" x14ac:dyDescent="0.25">
      <c r="B79" s="52">
        <f>B78+0.1</f>
        <v>1.9000000000000006</v>
      </c>
      <c r="C79">
        <f t="shared" si="1"/>
        <v>6.9047697653750656E-2</v>
      </c>
      <c r="D79">
        <f t="shared" si="1"/>
        <v>7.434203003319613E-2</v>
      </c>
      <c r="E79">
        <f t="shared" si="1"/>
        <v>7.1425107032802387E-2</v>
      </c>
      <c r="F79">
        <f t="shared" si="2"/>
        <v>6.7984376569213134E-2</v>
      </c>
      <c r="G79">
        <f t="shared" si="3"/>
        <v>6.5615814774676526E-2</v>
      </c>
    </row>
    <row r="80" spans="2:7" x14ac:dyDescent="0.25">
      <c r="B80" s="52">
        <f t="shared" ref="B80:B87" si="6">B79+0.1</f>
        <v>2.0000000000000004</v>
      </c>
      <c r="C80">
        <f t="shared" si="1"/>
        <v>6.3661977236758122E-2</v>
      </c>
      <c r="D80">
        <f t="shared" si="1"/>
        <v>6.5090310326216427E-2</v>
      </c>
      <c r="E80">
        <f t="shared" si="1"/>
        <v>6.1145766321218126E-2</v>
      </c>
      <c r="F80">
        <f t="shared" si="2"/>
        <v>5.6852275047197899E-2</v>
      </c>
      <c r="G80">
        <f t="shared" si="3"/>
        <v>5.3990966513188007E-2</v>
      </c>
    </row>
    <row r="81" spans="2:7" x14ac:dyDescent="0.25">
      <c r="B81" s="52">
        <f t="shared" si="6"/>
        <v>2.1000000000000005</v>
      </c>
      <c r="C81">
        <f t="shared" si="1"/>
        <v>5.8837317224360551E-2</v>
      </c>
      <c r="D81">
        <f t="shared" si="1"/>
        <v>5.6947544172170517E-2</v>
      </c>
      <c r="E81">
        <f t="shared" si="1"/>
        <v>5.2169742604354911E-2</v>
      </c>
      <c r="F81">
        <f t="shared" si="2"/>
        <v>4.7212678193653178E-2</v>
      </c>
      <c r="G81">
        <f t="shared" si="3"/>
        <v>4.3983595980427156E-2</v>
      </c>
    </row>
    <row r="82" spans="2:7" x14ac:dyDescent="0.25">
      <c r="B82" s="52">
        <f t="shared" si="6"/>
        <v>2.2000000000000006</v>
      </c>
      <c r="C82">
        <f t="shared" si="1"/>
        <v>5.4505117497224413E-2</v>
      </c>
      <c r="D82">
        <f t="shared" si="1"/>
        <v>4.9803352151145064E-2</v>
      </c>
      <c r="E82">
        <f t="shared" si="1"/>
        <v>4.4379676614245626E-2</v>
      </c>
      <c r="F82">
        <f t="shared" si="2"/>
        <v>3.8945725132978684E-2</v>
      </c>
      <c r="G82">
        <f t="shared" si="3"/>
        <v>3.547459284623139E-2</v>
      </c>
    </row>
    <row r="83" spans="2:7" x14ac:dyDescent="0.25">
      <c r="B83" s="52">
        <f t="shared" si="6"/>
        <v>2.3000000000000007</v>
      </c>
      <c r="C83">
        <f t="shared" si="1"/>
        <v>5.0605705275642371E-2</v>
      </c>
      <c r="D83">
        <f t="shared" si="1"/>
        <v>4.355096135043994E-2</v>
      </c>
      <c r="E83">
        <f t="shared" si="1"/>
        <v>3.7655586709753316E-2</v>
      </c>
      <c r="F83">
        <f t="shared" si="2"/>
        <v>3.1920549432000067E-2</v>
      </c>
      <c r="G83">
        <f t="shared" si="3"/>
        <v>2.832703774160112E-2</v>
      </c>
    </row>
    <row r="84" spans="2:7" x14ac:dyDescent="0.25">
      <c r="B84" s="52">
        <f t="shared" si="6"/>
        <v>2.4000000000000008</v>
      </c>
      <c r="C84">
        <f t="shared" ref="C84:F100" si="7">C$17/(1+$B84^2/C$11)^C$12</f>
        <v>4.7087261269791493E-2</v>
      </c>
      <c r="D84">
        <f t="shared" si="7"/>
        <v>3.8089656526431905E-2</v>
      </c>
      <c r="E84">
        <f t="shared" si="7"/>
        <v>3.1879493750030491E-2</v>
      </c>
      <c r="F84">
        <f t="shared" si="7"/>
        <v>2.6002173732796788E-2</v>
      </c>
      <c r="G84">
        <f t="shared" si="3"/>
        <v>2.2394530294842851E-2</v>
      </c>
    </row>
    <row r="85" spans="2:7" x14ac:dyDescent="0.25">
      <c r="B85" s="52">
        <f t="shared" si="6"/>
        <v>2.5000000000000009</v>
      </c>
      <c r="C85">
        <f t="shared" si="7"/>
        <v>4.3904811887419376E-2</v>
      </c>
      <c r="D85">
        <f t="shared" si="7"/>
        <v>3.332623888702279E-2</v>
      </c>
      <c r="E85">
        <f t="shared" si="7"/>
        <v>2.6938727628244407E-2</v>
      </c>
      <c r="F85">
        <f t="shared" si="7"/>
        <v>2.1057019220621555E-2</v>
      </c>
      <c r="G85">
        <f t="shared" ref="G85:G99" si="8">NORMDIST(B85,0,1,FALSE)</f>
        <v>1.7528300493568502E-2</v>
      </c>
    </row>
    <row r="86" spans="2:7" x14ac:dyDescent="0.25">
      <c r="B86" s="52">
        <f t="shared" si="6"/>
        <v>2.600000000000001</v>
      </c>
      <c r="C86">
        <f t="shared" si="7"/>
        <v>4.1019315229869908E-2</v>
      </c>
      <c r="D86">
        <f t="shared" si="7"/>
        <v>2.9175741685939248E-2</v>
      </c>
      <c r="E86">
        <f t="shared" si="7"/>
        <v>2.2728119798464907E-2</v>
      </c>
      <c r="F86">
        <f t="shared" si="7"/>
        <v>1.6957068343387522E-2</v>
      </c>
      <c r="G86">
        <f t="shared" si="8"/>
        <v>1.3582969233685583E-2</v>
      </c>
    </row>
    <row r="87" spans="2:7" x14ac:dyDescent="0.25">
      <c r="B87" s="52">
        <f t="shared" si="6"/>
        <v>2.7000000000000011</v>
      </c>
      <c r="C87">
        <f t="shared" si="7"/>
        <v>3.8396849961856508E-2</v>
      </c>
      <c r="D87">
        <f t="shared" si="7"/>
        <v>2.5561611020544526E-2</v>
      </c>
      <c r="E87">
        <f t="shared" si="7"/>
        <v>1.9151294092490952E-2</v>
      </c>
      <c r="F87">
        <f t="shared" si="7"/>
        <v>1.3582794199685897E-2</v>
      </c>
      <c r="G87">
        <f t="shared" si="8"/>
        <v>1.0420934814422567E-2</v>
      </c>
    </row>
    <row r="88" spans="2:7" x14ac:dyDescent="0.25">
      <c r="B88" s="52">
        <f>B87+0.1</f>
        <v>2.8000000000000012</v>
      </c>
      <c r="C88">
        <f t="shared" si="7"/>
        <v>3.600790567689937E-2</v>
      </c>
      <c r="D88">
        <f t="shared" si="7"/>
        <v>2.2415519021677217E-2</v>
      </c>
      <c r="E88">
        <f t="shared" si="7"/>
        <v>1.6121257439422099E-2</v>
      </c>
      <c r="F88">
        <f t="shared" si="7"/>
        <v>1.0825016893845291E-2</v>
      </c>
      <c r="G88">
        <f t="shared" si="8"/>
        <v>7.9154515829799391E-3</v>
      </c>
    </row>
    <row r="89" spans="2:7" x14ac:dyDescent="0.25">
      <c r="B89" s="52">
        <f>B88+0.1</f>
        <v>2.9000000000000012</v>
      </c>
      <c r="C89">
        <f t="shared" si="7"/>
        <v>3.3826767926013863E-2</v>
      </c>
      <c r="D89">
        <f t="shared" si="7"/>
        <v>1.9676938890598485E-2</v>
      </c>
      <c r="E89">
        <f t="shared" si="7"/>
        <v>1.3560470295244894E-2</v>
      </c>
      <c r="F89">
        <f t="shared" si="7"/>
        <v>8.5858698631406695E-3</v>
      </c>
      <c r="G89">
        <f t="shared" si="8"/>
        <v>5.9525324197758321E-3</v>
      </c>
    </row>
    <row r="90" spans="2:7" x14ac:dyDescent="0.25">
      <c r="B90" s="52">
        <f>B89+0.1</f>
        <v>3.0000000000000013</v>
      </c>
      <c r="C90">
        <f t="shared" si="7"/>
        <v>3.1830988618379047E-2</v>
      </c>
      <c r="D90">
        <f t="shared" si="7"/>
        <v>1.7292578800222929E-2</v>
      </c>
      <c r="E90">
        <f t="shared" si="7"/>
        <v>1.1400549464542491E-2</v>
      </c>
      <c r="F90">
        <f t="shared" si="7"/>
        <v>6.7790627460930656E-3</v>
      </c>
      <c r="G90">
        <f t="shared" si="8"/>
        <v>4.431848411937991E-3</v>
      </c>
    </row>
    <row r="91" spans="2:7" x14ac:dyDescent="0.25">
      <c r="B91" s="52">
        <f t="shared" ref="B91:B99" si="9">B90+0.1</f>
        <v>3.1000000000000014</v>
      </c>
      <c r="C91">
        <f t="shared" si="7"/>
        <v>3.0000931779810596E-2</v>
      </c>
      <c r="D91">
        <f t="shared" si="7"/>
        <v>1.5215745044952798E-2</v>
      </c>
      <c r="E91">
        <f t="shared" si="7"/>
        <v>9.5817276708977071E-3</v>
      </c>
      <c r="F91">
        <f t="shared" si="7"/>
        <v>5.3296170578657799E-3</v>
      </c>
      <c r="G91">
        <f t="shared" si="8"/>
        <v>3.2668190561999074E-3</v>
      </c>
    </row>
    <row r="92" spans="2:7" x14ac:dyDescent="0.25">
      <c r="B92" s="52">
        <f t="shared" si="9"/>
        <v>3.2000000000000015</v>
      </c>
      <c r="C92">
        <f t="shared" si="7"/>
        <v>2.8319384891796303E-2</v>
      </c>
      <c r="D92">
        <f t="shared" si="7"/>
        <v>1.3405683736328861E-2</v>
      </c>
      <c r="E92">
        <f t="shared" si="7"/>
        <v>8.0521673723421387E-3</v>
      </c>
      <c r="F92">
        <f t="shared" si="7"/>
        <v>4.1732316830004924E-3</v>
      </c>
      <c r="G92">
        <f t="shared" si="8"/>
        <v>2.3840882014648317E-3</v>
      </c>
    </row>
    <row r="93" spans="2:7" x14ac:dyDescent="0.25">
      <c r="B93" s="52">
        <f t="shared" si="9"/>
        <v>3.3000000000000016</v>
      </c>
      <c r="C93">
        <f t="shared" si="7"/>
        <v>2.6771226760621564E-2</v>
      </c>
      <c r="D93">
        <f t="shared" si="7"/>
        <v>1.1826934151171141E-2</v>
      </c>
      <c r="E93">
        <f t="shared" si="7"/>
        <v>6.7672024406869131E-3</v>
      </c>
      <c r="F93">
        <f t="shared" si="7"/>
        <v>3.2554111678475542E-3</v>
      </c>
      <c r="G93">
        <f t="shared" si="8"/>
        <v>1.7225689390536704E-3</v>
      </c>
    </row>
    <row r="94" spans="2:7" x14ac:dyDescent="0.25">
      <c r="B94" s="52">
        <f t="shared" si="9"/>
        <v>3.4000000000000017</v>
      </c>
      <c r="C94">
        <f t="shared" si="7"/>
        <v>2.5343143804441911E-2</v>
      </c>
      <c r="D94">
        <f t="shared" si="7"/>
        <v>1.0448714749395191E-2</v>
      </c>
      <c r="E94">
        <f t="shared" si="7"/>
        <v>5.6885611066299115E-3</v>
      </c>
      <c r="F94">
        <f t="shared" si="7"/>
        <v>2.530464272410651E-3</v>
      </c>
      <c r="G94">
        <f t="shared" si="8"/>
        <v>1.2322191684730121E-3</v>
      </c>
    </row>
    <row r="95" spans="2:7" x14ac:dyDescent="0.25">
      <c r="B95" s="52">
        <f t="shared" si="9"/>
        <v>3.5000000000000018</v>
      </c>
      <c r="C95">
        <f t="shared" si="7"/>
        <v>2.4023387636512482E-2</v>
      </c>
      <c r="D95">
        <f t="shared" si="7"/>
        <v>9.2443540925209022E-3</v>
      </c>
      <c r="E95">
        <f t="shared" si="7"/>
        <v>4.7836071267013062E-3</v>
      </c>
      <c r="F95">
        <f t="shared" si="7"/>
        <v>1.9604555808020829E-3</v>
      </c>
      <c r="G95">
        <f t="shared" si="8"/>
        <v>8.7268269504575473E-4</v>
      </c>
    </row>
    <row r="96" spans="2:7" x14ac:dyDescent="0.25">
      <c r="B96" s="52">
        <f t="shared" si="9"/>
        <v>3.6000000000000019</v>
      </c>
      <c r="C96">
        <f t="shared" si="7"/>
        <v>2.2801567778208482E-2</v>
      </c>
      <c r="D96">
        <f t="shared" si="7"/>
        <v>8.1907726871290384E-3</v>
      </c>
      <c r="E96">
        <f t="shared" si="7"/>
        <v>4.0246232150294593E-3</v>
      </c>
      <c r="F96">
        <f t="shared" si="7"/>
        <v>1.5141706922918016E-3</v>
      </c>
      <c r="G96">
        <f t="shared" si="8"/>
        <v>6.119019301137681E-4</v>
      </c>
    </row>
    <row r="97" spans="2:7" x14ac:dyDescent="0.25">
      <c r="B97" s="52">
        <f t="shared" si="9"/>
        <v>3.700000000000002</v>
      </c>
      <c r="C97">
        <f t="shared" si="7"/>
        <v>2.1668474212647407E-2</v>
      </c>
      <c r="D97">
        <f t="shared" si="7"/>
        <v>7.2680175325693791E-3</v>
      </c>
      <c r="E97">
        <f t="shared" si="7"/>
        <v>3.3881509779623872E-3</v>
      </c>
      <c r="F97">
        <f t="shared" si="7"/>
        <v>1.1661364480637553E-3</v>
      </c>
      <c r="G97">
        <f t="shared" si="8"/>
        <v>4.2478027055074878E-4</v>
      </c>
    </row>
    <row r="98" spans="2:7" x14ac:dyDescent="0.25">
      <c r="B98" s="52">
        <f t="shared" si="9"/>
        <v>3.800000000000002</v>
      </c>
      <c r="C98">
        <f t="shared" si="7"/>
        <v>2.0615925270970878E-2</v>
      </c>
      <c r="D98">
        <f t="shared" si="7"/>
        <v>6.458848364369823E-3</v>
      </c>
      <c r="E98">
        <f t="shared" si="7"/>
        <v>2.8543943946095934E-3</v>
      </c>
      <c r="F98">
        <f t="shared" si="7"/>
        <v>8.9572208725848174E-4</v>
      </c>
      <c r="G98">
        <f t="shared" si="8"/>
        <v>2.9194692579145794E-4</v>
      </c>
    </row>
    <row r="99" spans="2:7" x14ac:dyDescent="0.25">
      <c r="B99" s="52">
        <f t="shared" si="9"/>
        <v>3.9000000000000021</v>
      </c>
      <c r="C99">
        <f t="shared" si="7"/>
        <v>1.963663702552686E-2</v>
      </c>
      <c r="D99">
        <f t="shared" si="7"/>
        <v>5.7483728547693836E-3</v>
      </c>
      <c r="E99">
        <f t="shared" si="7"/>
        <v>2.4066888019954806E-3</v>
      </c>
      <c r="F99">
        <f t="shared" si="7"/>
        <v>6.8633509016922348E-4</v>
      </c>
      <c r="G99">
        <f t="shared" si="8"/>
        <v>1.9865547139277093E-4</v>
      </c>
    </row>
    <row r="100" spans="2:7" x14ac:dyDescent="0.25">
      <c r="B100" s="52">
        <f>B99+0.1</f>
        <v>4.0000000000000018</v>
      </c>
      <c r="C100">
        <f t="shared" si="7"/>
        <v>1.8724110951987671E-2</v>
      </c>
      <c r="D100">
        <f t="shared" si="7"/>
        <v>5.1237270519179038E-3</v>
      </c>
      <c r="E100">
        <f t="shared" si="7"/>
        <v>2.0310339110412097E-3</v>
      </c>
      <c r="F100">
        <f t="shared" si="7"/>
        <v>5.2471644019740516E-4</v>
      </c>
      <c r="G100">
        <f>NORMDIST(B100,0,1,FALSE)</f>
        <v>1.3383022576488442E-4</v>
      </c>
    </row>
  </sheetData>
  <pageMargins left="0.7" right="0.7" top="0.75" bottom="0.75" header="0.3" footer="0.3"/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3"/>
  <dimension ref="A1:I10"/>
  <sheetViews>
    <sheetView zoomScaleNormal="100" workbookViewId="0">
      <selection activeCell="C10" sqref="C10"/>
    </sheetView>
  </sheetViews>
  <sheetFormatPr defaultRowHeight="15" x14ac:dyDescent="0.25"/>
  <cols>
    <col min="1" max="1" width="18.7109375" customWidth="1"/>
  </cols>
  <sheetData>
    <row r="1" spans="1:9" x14ac:dyDescent="0.25">
      <c r="A1" s="1" t="s">
        <v>1105</v>
      </c>
    </row>
    <row r="3" spans="1:9" x14ac:dyDescent="0.25">
      <c r="A3" t="s">
        <v>28</v>
      </c>
      <c r="B3" s="316">
        <f>G7</f>
        <v>2.1318467863266499</v>
      </c>
      <c r="C3" s="317">
        <f>-B3</f>
        <v>-2.1318467863266499</v>
      </c>
      <c r="E3" s="53" t="s">
        <v>140</v>
      </c>
      <c r="F3" s="316">
        <v>0.05</v>
      </c>
      <c r="G3" s="292">
        <v>0.1</v>
      </c>
      <c r="H3" s="292">
        <v>0.9</v>
      </c>
      <c r="I3" s="317">
        <v>0.95</v>
      </c>
    </row>
    <row r="4" spans="1:9" x14ac:dyDescent="0.25">
      <c r="A4" t="s">
        <v>168</v>
      </c>
      <c r="B4" s="148">
        <v>4</v>
      </c>
      <c r="C4" s="153">
        <v>4</v>
      </c>
      <c r="E4" t="s">
        <v>168</v>
      </c>
      <c r="F4" s="166">
        <v>4</v>
      </c>
      <c r="G4" s="8">
        <v>4</v>
      </c>
      <c r="H4" s="8">
        <v>4</v>
      </c>
      <c r="I4" s="167">
        <v>4</v>
      </c>
    </row>
    <row r="5" spans="1:9" x14ac:dyDescent="0.25">
      <c r="A5" t="s">
        <v>1100</v>
      </c>
      <c r="B5" s="316">
        <f>_xlfn.T.DIST(B3,B4,FALSE)</f>
        <v>5.6225096733005922E-2</v>
      </c>
      <c r="C5" s="317">
        <f>_xlfn.T.DIST(C3,C4,FALSE)</f>
        <v>5.6225096733005922E-2</v>
      </c>
      <c r="E5" t="s">
        <v>1102</v>
      </c>
      <c r="F5" s="316">
        <f>_xlfn.T.INV(F3,F4)</f>
        <v>-2.1318467863266499</v>
      </c>
      <c r="G5" s="292">
        <f>_xlfn.T.INV(G3,G4)</f>
        <v>-1.5332062740589443</v>
      </c>
      <c r="H5" s="292">
        <f>_xlfn.T.INV(H3,H4)</f>
        <v>1.5332062740589445</v>
      </c>
      <c r="I5" s="317">
        <f>_xlfn.T.INV(I3,I4)</f>
        <v>2.131846786326649</v>
      </c>
    </row>
    <row r="6" spans="1:9" x14ac:dyDescent="0.25">
      <c r="A6" t="s">
        <v>1098</v>
      </c>
      <c r="B6" s="166">
        <f>_xlfn.T.DIST(B3,B4,TRUE)</f>
        <v>0.95</v>
      </c>
      <c r="C6" s="167">
        <f>_xlfn.T.DIST(C3,C4,TRUE)</f>
        <v>0.05</v>
      </c>
      <c r="E6" t="s">
        <v>1103</v>
      </c>
      <c r="F6" s="148">
        <f>_xlfn.T.INV.2T(F3,F4)</f>
        <v>2.7764451051977934</v>
      </c>
      <c r="G6" s="276">
        <f>_xlfn.T.INV.2T(G3,G4)</f>
        <v>2.1318467863266499</v>
      </c>
      <c r="H6" s="276">
        <f>_xlfn.T.INV.2T(H3,H4)</f>
        <v>0.13383036711194346</v>
      </c>
      <c r="I6" s="153">
        <f>_xlfn.T.INV.2T(I3,I4)</f>
        <v>6.6728494700757035E-2</v>
      </c>
    </row>
    <row r="7" spans="1:9" x14ac:dyDescent="0.25">
      <c r="A7" t="s">
        <v>1096</v>
      </c>
      <c r="B7" s="166">
        <f>_xlfn.T.DIST.RT(B3,B4)</f>
        <v>0.05</v>
      </c>
      <c r="C7" s="167">
        <f>_xlfn.T.DIST.RT(C3,C4)</f>
        <v>0.95</v>
      </c>
      <c r="E7" t="s">
        <v>1104</v>
      </c>
      <c r="F7" s="148">
        <f>TINV(F3,F4)</f>
        <v>2.7764451051977934</v>
      </c>
      <c r="G7" s="276">
        <f>TINV(G3,G4)</f>
        <v>2.1318467863266499</v>
      </c>
      <c r="H7" s="276">
        <f>TINV(H3,H4)</f>
        <v>0.13383036711194346</v>
      </c>
      <c r="I7" s="153">
        <f>TINV(I3,I4)</f>
        <v>6.6728494700757035E-2</v>
      </c>
    </row>
    <row r="8" spans="1:9" x14ac:dyDescent="0.25">
      <c r="A8" t="s">
        <v>1097</v>
      </c>
      <c r="B8" s="148">
        <f>_xlfn.T.DIST.2T(B3,B4)</f>
        <v>0.1</v>
      </c>
      <c r="C8" s="153" t="e">
        <f>_xlfn.T.DIST.2T(C3,C4)</f>
        <v>#NUM!</v>
      </c>
    </row>
    <row r="9" spans="1:9" x14ac:dyDescent="0.25">
      <c r="A9" t="s">
        <v>1099</v>
      </c>
      <c r="B9" s="316">
        <f>TDIST(B3,B4,1)</f>
        <v>0.05</v>
      </c>
      <c r="C9" s="317" t="e">
        <f>TDIST(C3,C4,1)</f>
        <v>#NUM!</v>
      </c>
    </row>
    <row r="10" spans="1:9" x14ac:dyDescent="0.25">
      <c r="A10" t="s">
        <v>1101</v>
      </c>
      <c r="B10" s="148">
        <f>TDIST(B3,B4,2)</f>
        <v>0.1</v>
      </c>
      <c r="C10" s="153" t="e">
        <f>TDIST(C3,C4,2)</f>
        <v>#NUM!</v>
      </c>
    </row>
  </sheetData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S19"/>
  <sheetViews>
    <sheetView workbookViewId="0"/>
  </sheetViews>
  <sheetFormatPr defaultRowHeight="15" x14ac:dyDescent="0.25"/>
  <cols>
    <col min="1" max="1" width="8.28515625" customWidth="1"/>
    <col min="2" max="2" width="12.28515625" customWidth="1"/>
    <col min="3" max="3" width="6.85546875" customWidth="1"/>
    <col min="4" max="4" width="10.28515625" customWidth="1"/>
    <col min="6" max="6" width="3.42578125" customWidth="1"/>
    <col min="7" max="7" width="21.7109375" customWidth="1"/>
  </cols>
  <sheetData>
    <row r="1" spans="1:19" x14ac:dyDescent="0.25">
      <c r="A1" s="1" t="s">
        <v>159</v>
      </c>
      <c r="B1" s="33"/>
      <c r="E1" s="43"/>
      <c r="R1" t="s">
        <v>699</v>
      </c>
    </row>
    <row r="2" spans="1:19" x14ac:dyDescent="0.25">
      <c r="A2" s="33"/>
      <c r="B2" s="33"/>
      <c r="E2" s="43"/>
    </row>
    <row r="3" spans="1:19" x14ac:dyDescent="0.25">
      <c r="A3" s="218" t="s">
        <v>160</v>
      </c>
      <c r="B3" s="218" t="s">
        <v>161</v>
      </c>
      <c r="D3" s="54" t="s">
        <v>360</v>
      </c>
      <c r="E3" s="213">
        <f>COUNT(B4:B15)</f>
        <v>12</v>
      </c>
      <c r="G3" s="22" t="s">
        <v>162</v>
      </c>
      <c r="I3" t="s">
        <v>175</v>
      </c>
      <c r="S3" s="126" t="str">
        <f>B3</f>
        <v>Weight Loss</v>
      </c>
    </row>
    <row r="4" spans="1:19" x14ac:dyDescent="0.25">
      <c r="A4" s="203">
        <v>1</v>
      </c>
      <c r="B4" s="217">
        <v>23</v>
      </c>
      <c r="D4" s="8" t="s">
        <v>63</v>
      </c>
      <c r="E4" s="215">
        <f>AVERAGE(B4:B15)</f>
        <v>4.666666666666667</v>
      </c>
      <c r="G4" s="22" t="s">
        <v>163</v>
      </c>
      <c r="R4" t="s">
        <v>142</v>
      </c>
      <c r="S4" s="558">
        <f>MIN(B4:B15)-$S$11</f>
        <v>0</v>
      </c>
    </row>
    <row r="5" spans="1:19" ht="15.75" thickBot="1" x14ac:dyDescent="0.3">
      <c r="A5" s="203">
        <f t="shared" ref="A5:A15" si="0">A4+1</f>
        <v>2</v>
      </c>
      <c r="B5" s="217">
        <v>15</v>
      </c>
      <c r="D5" s="8" t="s">
        <v>199</v>
      </c>
      <c r="E5" s="215">
        <f>STDEV(B4:B15)</f>
        <v>11.154561507483942</v>
      </c>
      <c r="G5" s="22" t="s">
        <v>1110</v>
      </c>
      <c r="I5" t="s">
        <v>176</v>
      </c>
      <c r="L5" t="s">
        <v>114</v>
      </c>
      <c r="M5">
        <v>0.05</v>
      </c>
      <c r="R5" t="s">
        <v>143</v>
      </c>
      <c r="S5" s="559">
        <f>QUARTILE(B4:B15,1)-S4-$S$11</f>
        <v>5</v>
      </c>
    </row>
    <row r="6" spans="1:19" ht="15.75" thickTop="1" x14ac:dyDescent="0.25">
      <c r="A6" s="203">
        <f t="shared" si="0"/>
        <v>3</v>
      </c>
      <c r="B6" s="217">
        <v>-5</v>
      </c>
      <c r="D6" s="8" t="s">
        <v>424</v>
      </c>
      <c r="E6" s="214">
        <f>E5/SQRT(E3)</f>
        <v>3.220044544519046</v>
      </c>
      <c r="G6" s="22" t="s">
        <v>166</v>
      </c>
      <c r="I6" s="58" t="s">
        <v>87</v>
      </c>
      <c r="J6" s="58" t="s">
        <v>75</v>
      </c>
      <c r="K6" s="58" t="s">
        <v>164</v>
      </c>
      <c r="L6" s="58" t="s">
        <v>165</v>
      </c>
      <c r="M6" s="58" t="s">
        <v>177</v>
      </c>
      <c r="N6" s="58" t="s">
        <v>168</v>
      </c>
      <c r="O6" s="58" t="s">
        <v>178</v>
      </c>
      <c r="P6" s="58" t="s">
        <v>179</v>
      </c>
      <c r="R6" t="s">
        <v>144</v>
      </c>
      <c r="S6" s="559">
        <f>MEDIAN(B4:B15)-QUARTILE(B4:B15,1)</f>
        <v>9</v>
      </c>
    </row>
    <row r="7" spans="1:19" x14ac:dyDescent="0.25">
      <c r="A7" s="203">
        <f t="shared" si="0"/>
        <v>4</v>
      </c>
      <c r="B7" s="217">
        <v>7</v>
      </c>
      <c r="E7" s="43"/>
      <c r="I7">
        <f>COUNT(B4:B15)</f>
        <v>12</v>
      </c>
      <c r="J7" s="43">
        <f>AVERAGE(B4:B15)</f>
        <v>4.666666666666667</v>
      </c>
      <c r="K7">
        <f>STDEV(B4:B15)</f>
        <v>11.154561507483942</v>
      </c>
      <c r="L7">
        <f>K7/SQRT(I7)</f>
        <v>3.220044544519046</v>
      </c>
      <c r="M7">
        <f>(J7-M9)/L7</f>
        <v>1.4492553137533357</v>
      </c>
      <c r="N7">
        <f>I7-1</f>
        <v>11</v>
      </c>
      <c r="O7">
        <f>ABS(J7-M9)/K7</f>
        <v>0.41836397275999199</v>
      </c>
      <c r="P7">
        <f>SQRT(M7^2/(M7^2+N7))</f>
        <v>0.40040878906938115</v>
      </c>
      <c r="R7" t="s">
        <v>145</v>
      </c>
      <c r="S7" s="559">
        <f>QUARTILE(B4:B15,3)-MEDIAN(B4:B15)</f>
        <v>8.75</v>
      </c>
    </row>
    <row r="8" spans="1:19" x14ac:dyDescent="0.25">
      <c r="A8" s="203">
        <f t="shared" si="0"/>
        <v>5</v>
      </c>
      <c r="B8" s="217">
        <v>1</v>
      </c>
      <c r="D8" s="8" t="s">
        <v>474</v>
      </c>
      <c r="E8" s="213">
        <v>0</v>
      </c>
      <c r="I8" s="5"/>
      <c r="J8" s="5"/>
      <c r="K8" s="5"/>
      <c r="L8" s="5"/>
      <c r="M8" s="5"/>
      <c r="N8" s="5"/>
      <c r="O8" s="5"/>
      <c r="P8" s="5"/>
      <c r="R8" t="s">
        <v>146</v>
      </c>
      <c r="S8" s="559">
        <f>MAX(B4:B15)-QUARTILE(B4:B15,3)</f>
        <v>10.25</v>
      </c>
    </row>
    <row r="9" spans="1:19" ht="15.75" thickBot="1" x14ac:dyDescent="0.3">
      <c r="A9" s="203">
        <f t="shared" si="0"/>
        <v>6</v>
      </c>
      <c r="B9" s="217">
        <v>-10</v>
      </c>
      <c r="D9" s="151" t="s">
        <v>140</v>
      </c>
      <c r="E9" s="215">
        <v>0.05</v>
      </c>
      <c r="I9" t="s">
        <v>180</v>
      </c>
      <c r="L9" t="s">
        <v>167</v>
      </c>
      <c r="M9">
        <v>0</v>
      </c>
      <c r="R9" t="s">
        <v>75</v>
      </c>
      <c r="S9" s="560">
        <f>AVERAGE(B4:B15)-$S$11</f>
        <v>14.666666666666668</v>
      </c>
    </row>
    <row r="10" spans="1:19" ht="15.75" thickTop="1" x14ac:dyDescent="0.25">
      <c r="A10" s="203">
        <f t="shared" si="0"/>
        <v>7</v>
      </c>
      <c r="B10" s="217">
        <v>12</v>
      </c>
      <c r="D10" s="8" t="s">
        <v>394</v>
      </c>
      <c r="E10" s="215">
        <v>1</v>
      </c>
      <c r="I10" s="58" t="s">
        <v>181</v>
      </c>
      <c r="J10" s="58" t="s">
        <v>182</v>
      </c>
      <c r="K10" s="58" t="s">
        <v>183</v>
      </c>
      <c r="L10" s="58" t="s">
        <v>102</v>
      </c>
      <c r="M10" s="58" t="s">
        <v>103</v>
      </c>
      <c r="N10" s="58" t="s">
        <v>381</v>
      </c>
    </row>
    <row r="11" spans="1:19" x14ac:dyDescent="0.25">
      <c r="A11" s="203">
        <f t="shared" si="0"/>
        <v>8</v>
      </c>
      <c r="B11" s="217">
        <v>-8</v>
      </c>
      <c r="D11" s="8" t="s">
        <v>168</v>
      </c>
      <c r="E11" s="215">
        <f>E3-1</f>
        <v>11</v>
      </c>
      <c r="G11" s="22" t="s">
        <v>169</v>
      </c>
      <c r="I11" t="s">
        <v>185</v>
      </c>
      <c r="J11">
        <f>TDIST(ABS(M7),N7,1)</f>
        <v>8.7584727794285583E-2</v>
      </c>
      <c r="K11">
        <f>TINV(M5*2,N7)</f>
        <v>1.7958848187040437</v>
      </c>
      <c r="N11" s="33" t="str">
        <f>IF(J11&lt;M5,"yes","no")</f>
        <v>no</v>
      </c>
      <c r="R11" t="s">
        <v>1432</v>
      </c>
      <c r="S11" s="557">
        <f>MIN(B4:B15)</f>
        <v>-10</v>
      </c>
    </row>
    <row r="12" spans="1:19" x14ac:dyDescent="0.25">
      <c r="A12" s="203">
        <f t="shared" si="0"/>
        <v>9</v>
      </c>
      <c r="B12" s="217">
        <v>20</v>
      </c>
      <c r="D12" s="8" t="s">
        <v>170</v>
      </c>
      <c r="E12" s="215">
        <f>(E4-E8)/E6</f>
        <v>1.4492553137533357</v>
      </c>
      <c r="G12" s="22" t="s">
        <v>171</v>
      </c>
      <c r="I12" s="276" t="s">
        <v>186</v>
      </c>
      <c r="J12" s="276">
        <f>TDIST(ABS(M7),N7,2)</f>
        <v>0.17516945558857117</v>
      </c>
      <c r="K12" s="276">
        <f>TINV(M5,N7)</f>
        <v>2.2009851600916384</v>
      </c>
      <c r="L12" s="276">
        <f>J7-K12*L7</f>
        <v>-2.4206035906537924</v>
      </c>
      <c r="M12" s="276">
        <f>J7+K12*L7</f>
        <v>11.753936923987126</v>
      </c>
      <c r="N12" s="503" t="str">
        <f>IF(J12&lt;M5,"yes","no")</f>
        <v>no</v>
      </c>
    </row>
    <row r="13" spans="1:19" x14ac:dyDescent="0.25">
      <c r="A13" s="203">
        <f t="shared" si="0"/>
        <v>10</v>
      </c>
      <c r="B13" s="217">
        <v>8</v>
      </c>
      <c r="D13" s="8" t="s">
        <v>172</v>
      </c>
      <c r="E13" s="215">
        <f>TDIST(ABS(E12),E11,E10)</f>
        <v>8.7584727794285583E-2</v>
      </c>
      <c r="G13" s="22" t="s">
        <v>1111</v>
      </c>
    </row>
    <row r="14" spans="1:19" x14ac:dyDescent="0.25">
      <c r="A14" s="203">
        <f t="shared" si="0"/>
        <v>11</v>
      </c>
      <c r="B14" s="217">
        <v>-2</v>
      </c>
      <c r="D14" s="8" t="s">
        <v>173</v>
      </c>
      <c r="E14" s="215">
        <f>TINV(E9*2,E11)</f>
        <v>1.7958848187040437</v>
      </c>
      <c r="G14" s="22" t="s">
        <v>1112</v>
      </c>
    </row>
    <row r="15" spans="1:19" x14ac:dyDescent="0.25">
      <c r="A15" s="219">
        <f t="shared" si="0"/>
        <v>12</v>
      </c>
      <c r="B15" s="220">
        <v>-5</v>
      </c>
      <c r="D15" s="8" t="s">
        <v>381</v>
      </c>
      <c r="E15" s="216" t="str">
        <f>IF(E13&lt;E9,"yes","no")</f>
        <v>no</v>
      </c>
      <c r="G15" s="22" t="s">
        <v>532</v>
      </c>
    </row>
    <row r="16" spans="1:19" x14ac:dyDescent="0.25">
      <c r="A16" s="33"/>
      <c r="B16" s="33"/>
      <c r="E16" s="43"/>
    </row>
    <row r="17" spans="1:5" x14ac:dyDescent="0.25">
      <c r="A17" s="33"/>
      <c r="B17" s="33"/>
      <c r="E17" s="43"/>
    </row>
    <row r="18" spans="1:5" x14ac:dyDescent="0.25">
      <c r="A18" s="33"/>
      <c r="B18" s="33"/>
      <c r="D18" t="s">
        <v>174</v>
      </c>
      <c r="E18" s="213">
        <f>NORMDIST(E4,E8,E6,TRUE)</f>
        <v>0.92636685229592319</v>
      </c>
    </row>
    <row r="19" spans="1:5" x14ac:dyDescent="0.25">
      <c r="A19" s="33"/>
      <c r="B19" s="33"/>
      <c r="E19" s="214">
        <f>1-E18</f>
        <v>7.3633147704076807E-2</v>
      </c>
    </row>
  </sheetData>
  <pageMargins left="0.7" right="0.7" top="0.75" bottom="0.75" header="0.3" footer="0.3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W77"/>
  <sheetViews>
    <sheetView workbookViewId="0"/>
  </sheetViews>
  <sheetFormatPr defaultRowHeight="15" x14ac:dyDescent="0.25"/>
  <cols>
    <col min="6" max="6" width="24.7109375" customWidth="1"/>
  </cols>
  <sheetData>
    <row r="1" spans="1:23" x14ac:dyDescent="0.25">
      <c r="A1" s="1" t="s">
        <v>159</v>
      </c>
      <c r="F1" s="1"/>
    </row>
    <row r="2" spans="1:23" ht="15.75" thickBot="1" x14ac:dyDescent="0.3">
      <c r="W2" s="19" t="s">
        <v>195</v>
      </c>
    </row>
    <row r="3" spans="1:23" x14ac:dyDescent="0.25">
      <c r="A3" s="1" t="s">
        <v>187</v>
      </c>
      <c r="F3" s="34" t="s">
        <v>188</v>
      </c>
      <c r="G3" s="34"/>
      <c r="I3" s="19" t="s">
        <v>107</v>
      </c>
      <c r="K3" s="26" t="s">
        <v>110</v>
      </c>
      <c r="L3" s="26" t="s">
        <v>106</v>
      </c>
    </row>
    <row r="4" spans="1:23" x14ac:dyDescent="0.25">
      <c r="F4" s="27"/>
      <c r="G4" s="27"/>
      <c r="K4" s="66">
        <v>40</v>
      </c>
      <c r="L4" s="27">
        <v>2</v>
      </c>
      <c r="W4" s="43">
        <f t="shared" ref="W4:W13" si="0">A5</f>
        <v>63</v>
      </c>
    </row>
    <row r="5" spans="1:23" x14ac:dyDescent="0.25">
      <c r="A5" s="60">
        <v>63</v>
      </c>
      <c r="B5" s="61">
        <v>58</v>
      </c>
      <c r="C5" s="61">
        <v>76</v>
      </c>
      <c r="D5" s="55">
        <v>59</v>
      </c>
      <c r="F5" s="27" t="s">
        <v>75</v>
      </c>
      <c r="G5" s="27">
        <v>68.400000000000006</v>
      </c>
      <c r="I5" s="59">
        <v>40</v>
      </c>
      <c r="K5" s="66">
        <v>45</v>
      </c>
      <c r="L5" s="27">
        <v>3</v>
      </c>
      <c r="W5" s="43">
        <f t="shared" si="0"/>
        <v>95</v>
      </c>
    </row>
    <row r="6" spans="1:23" x14ac:dyDescent="0.25">
      <c r="A6" s="62">
        <v>95</v>
      </c>
      <c r="B6" s="63">
        <v>84</v>
      </c>
      <c r="C6" s="63">
        <v>83</v>
      </c>
      <c r="D6" s="56">
        <v>68</v>
      </c>
      <c r="F6" s="27" t="s">
        <v>76</v>
      </c>
      <c r="G6" s="27">
        <v>2.6201389667588599</v>
      </c>
      <c r="I6" s="59">
        <f>I5+5</f>
        <v>45</v>
      </c>
      <c r="K6" s="66">
        <v>50</v>
      </c>
      <c r="L6" s="27">
        <v>2</v>
      </c>
      <c r="W6" s="43">
        <f t="shared" si="0"/>
        <v>81</v>
      </c>
    </row>
    <row r="7" spans="1:23" x14ac:dyDescent="0.25">
      <c r="A7" s="62">
        <v>81</v>
      </c>
      <c r="B7" s="63">
        <v>90</v>
      </c>
      <c r="C7" s="63">
        <v>87</v>
      </c>
      <c r="D7" s="56">
        <v>45</v>
      </c>
      <c r="F7" s="27" t="s">
        <v>77</v>
      </c>
      <c r="G7" s="27">
        <v>68</v>
      </c>
      <c r="I7" s="59">
        <f t="shared" ref="I7:I15" si="1">I6+5</f>
        <v>50</v>
      </c>
      <c r="K7" s="66">
        <v>55</v>
      </c>
      <c r="L7" s="27">
        <v>2</v>
      </c>
      <c r="W7" s="43">
        <f t="shared" si="0"/>
        <v>75</v>
      </c>
    </row>
    <row r="8" spans="1:23" x14ac:dyDescent="0.25">
      <c r="A8" s="62">
        <v>75</v>
      </c>
      <c r="B8" s="63">
        <v>38</v>
      </c>
      <c r="C8" s="63">
        <v>54</v>
      </c>
      <c r="D8" s="56">
        <v>52</v>
      </c>
      <c r="F8" s="27" t="s">
        <v>78</v>
      </c>
      <c r="G8" s="27">
        <v>64</v>
      </c>
      <c r="I8" s="59">
        <f t="shared" si="1"/>
        <v>55</v>
      </c>
      <c r="K8" s="66">
        <v>60</v>
      </c>
      <c r="L8" s="27">
        <v>5</v>
      </c>
      <c r="W8" s="43">
        <f t="shared" si="0"/>
        <v>90</v>
      </c>
    </row>
    <row r="9" spans="1:23" x14ac:dyDescent="0.25">
      <c r="A9" s="62">
        <v>90</v>
      </c>
      <c r="B9" s="63">
        <v>100</v>
      </c>
      <c r="C9" s="63">
        <v>45</v>
      </c>
      <c r="D9" s="56">
        <v>76</v>
      </c>
      <c r="F9" s="27" t="s">
        <v>79</v>
      </c>
      <c r="G9" s="27">
        <v>16.5712138422364</v>
      </c>
      <c r="I9" s="59">
        <f t="shared" si="1"/>
        <v>60</v>
      </c>
      <c r="K9" s="66">
        <v>65</v>
      </c>
      <c r="L9" s="27">
        <v>5</v>
      </c>
      <c r="W9" s="43">
        <f t="shared" si="0"/>
        <v>64</v>
      </c>
    </row>
    <row r="10" spans="1:23" x14ac:dyDescent="0.25">
      <c r="A10" s="62">
        <v>64</v>
      </c>
      <c r="B10" s="63">
        <v>80</v>
      </c>
      <c r="C10" s="63">
        <v>58</v>
      </c>
      <c r="D10" s="56">
        <v>78</v>
      </c>
      <c r="F10" s="27" t="s">
        <v>80</v>
      </c>
      <c r="G10" s="27">
        <v>274.60512820512838</v>
      </c>
      <c r="I10" s="59">
        <f t="shared" si="1"/>
        <v>65</v>
      </c>
      <c r="K10" s="66">
        <v>70</v>
      </c>
      <c r="L10" s="27">
        <v>3</v>
      </c>
      <c r="W10" s="43">
        <f t="shared" si="0"/>
        <v>45</v>
      </c>
    </row>
    <row r="11" spans="1:23" x14ac:dyDescent="0.25">
      <c r="A11" s="62">
        <v>45</v>
      </c>
      <c r="B11" s="63">
        <v>68</v>
      </c>
      <c r="C11" s="63">
        <v>64</v>
      </c>
      <c r="D11" s="56">
        <v>50</v>
      </c>
      <c r="F11" s="27" t="s">
        <v>81</v>
      </c>
      <c r="G11" s="27">
        <v>-0.80131844997494062</v>
      </c>
      <c r="I11" s="59">
        <f t="shared" si="1"/>
        <v>70</v>
      </c>
      <c r="K11" s="66">
        <v>75</v>
      </c>
      <c r="L11" s="27">
        <v>3</v>
      </c>
      <c r="W11" s="43">
        <f t="shared" si="0"/>
        <v>59</v>
      </c>
    </row>
    <row r="12" spans="1:23" x14ac:dyDescent="0.25">
      <c r="A12" s="62">
        <v>59</v>
      </c>
      <c r="B12" s="63">
        <v>49</v>
      </c>
      <c r="C12" s="63">
        <v>63</v>
      </c>
      <c r="D12" s="56">
        <v>75</v>
      </c>
      <c r="F12" s="27" t="s">
        <v>82</v>
      </c>
      <c r="G12" s="27">
        <v>-8.8637603694432965E-2</v>
      </c>
      <c r="I12" s="59">
        <f t="shared" si="1"/>
        <v>75</v>
      </c>
      <c r="K12" s="66">
        <v>80</v>
      </c>
      <c r="L12" s="27">
        <v>4</v>
      </c>
      <c r="W12" s="43">
        <f t="shared" si="0"/>
        <v>72</v>
      </c>
    </row>
    <row r="13" spans="1:23" x14ac:dyDescent="0.25">
      <c r="A13" s="62">
        <v>72</v>
      </c>
      <c r="B13" s="63">
        <v>68</v>
      </c>
      <c r="C13" s="63">
        <v>92</v>
      </c>
      <c r="D13" s="56">
        <v>64</v>
      </c>
      <c r="F13" s="27" t="s">
        <v>83</v>
      </c>
      <c r="G13" s="27">
        <v>65</v>
      </c>
      <c r="I13" s="59">
        <f t="shared" si="1"/>
        <v>80</v>
      </c>
      <c r="K13" s="66">
        <v>85</v>
      </c>
      <c r="L13" s="27">
        <v>3</v>
      </c>
      <c r="W13" s="43">
        <f t="shared" si="0"/>
        <v>35</v>
      </c>
    </row>
    <row r="14" spans="1:23" x14ac:dyDescent="0.25">
      <c r="A14" s="64">
        <v>35</v>
      </c>
      <c r="B14" s="65">
        <v>60</v>
      </c>
      <c r="C14" s="65">
        <v>87</v>
      </c>
      <c r="D14" s="57">
        <v>86</v>
      </c>
      <c r="F14" s="27" t="s">
        <v>84</v>
      </c>
      <c r="G14" s="27">
        <v>35</v>
      </c>
      <c r="I14" s="59">
        <f t="shared" si="1"/>
        <v>85</v>
      </c>
      <c r="K14" s="66">
        <v>90</v>
      </c>
      <c r="L14" s="27">
        <v>5</v>
      </c>
      <c r="W14" s="43">
        <f t="shared" ref="W14:W23" si="2">B5</f>
        <v>58</v>
      </c>
    </row>
    <row r="15" spans="1:23" ht="15.75" thickBot="1" x14ac:dyDescent="0.3">
      <c r="F15" s="27" t="s">
        <v>85</v>
      </c>
      <c r="G15" s="27">
        <v>100</v>
      </c>
      <c r="I15" s="59">
        <f t="shared" si="1"/>
        <v>90</v>
      </c>
      <c r="K15" s="30" t="s">
        <v>111</v>
      </c>
      <c r="L15" s="30">
        <v>3</v>
      </c>
      <c r="W15" s="43">
        <f t="shared" si="2"/>
        <v>84</v>
      </c>
    </row>
    <row r="16" spans="1:23" x14ac:dyDescent="0.25">
      <c r="F16" s="27" t="s">
        <v>86</v>
      </c>
      <c r="G16" s="27">
        <v>2736</v>
      </c>
      <c r="I16" s="52"/>
      <c r="W16" s="43">
        <f t="shared" si="2"/>
        <v>90</v>
      </c>
    </row>
    <row r="17" spans="6:23" x14ac:dyDescent="0.25">
      <c r="F17" s="27" t="s">
        <v>87</v>
      </c>
      <c r="G17" s="27">
        <v>40</v>
      </c>
      <c r="W17" s="43">
        <f t="shared" si="2"/>
        <v>38</v>
      </c>
    </row>
    <row r="18" spans="6:23" ht="15.75" thickBot="1" x14ac:dyDescent="0.3">
      <c r="F18" s="30" t="s">
        <v>189</v>
      </c>
      <c r="G18" s="30">
        <v>5.2997312480528764</v>
      </c>
      <c r="W18" s="43">
        <f t="shared" si="2"/>
        <v>100</v>
      </c>
    </row>
    <row r="19" spans="6:23" x14ac:dyDescent="0.25">
      <c r="H19" s="27"/>
      <c r="I19" s="27"/>
      <c r="W19" s="43">
        <f t="shared" si="2"/>
        <v>80</v>
      </c>
    </row>
    <row r="20" spans="6:23" x14ac:dyDescent="0.25">
      <c r="K20" t="s">
        <v>142</v>
      </c>
      <c r="L20">
        <f>MIN(W4:W43)</f>
        <v>35</v>
      </c>
      <c r="W20" s="43">
        <f t="shared" si="2"/>
        <v>68</v>
      </c>
    </row>
    <row r="21" spans="6:23" x14ac:dyDescent="0.25">
      <c r="F21" t="s">
        <v>94</v>
      </c>
      <c r="K21" t="s">
        <v>143</v>
      </c>
      <c r="L21">
        <f>QUARTILE(W4:W43,1)-L20</f>
        <v>23</v>
      </c>
      <c r="W21" s="43">
        <f t="shared" si="2"/>
        <v>49</v>
      </c>
    </row>
    <row r="22" spans="6:23" x14ac:dyDescent="0.25">
      <c r="K22" t="s">
        <v>144</v>
      </c>
      <c r="L22">
        <f>MEDIAN(W4:W43)-QUARTILE(W4:W43,1)</f>
        <v>10</v>
      </c>
      <c r="W22" s="43">
        <f t="shared" si="2"/>
        <v>68</v>
      </c>
    </row>
    <row r="23" spans="6:23" x14ac:dyDescent="0.25">
      <c r="F23" s="35"/>
      <c r="G23" s="35" t="s">
        <v>190</v>
      </c>
      <c r="K23" t="s">
        <v>145</v>
      </c>
      <c r="L23">
        <f>QUARTILE(W4:W43,3)-MEDIAN(W4:W43)</f>
        <v>13.5</v>
      </c>
      <c r="W23" s="43">
        <f t="shared" si="2"/>
        <v>60</v>
      </c>
    </row>
    <row r="24" spans="6:23" x14ac:dyDescent="0.25">
      <c r="F24" t="s">
        <v>75</v>
      </c>
      <c r="G24">
        <f>AVERAGE(W4:W43)</f>
        <v>68.400000000000006</v>
      </c>
      <c r="K24" t="s">
        <v>146</v>
      </c>
      <c r="L24">
        <f>MAX(W4:W43)-QUARTILE(W4:W43,3)</f>
        <v>18.5</v>
      </c>
      <c r="W24" s="43">
        <f t="shared" ref="W24:W33" si="3">C5</f>
        <v>76</v>
      </c>
    </row>
    <row r="25" spans="6:23" x14ac:dyDescent="0.25">
      <c r="F25" t="s">
        <v>76</v>
      </c>
      <c r="G25">
        <f>STDEV(W4:W43)/SQRT(COUNT(W4:W43))</f>
        <v>2.6201389667588639</v>
      </c>
      <c r="W25" s="43">
        <f t="shared" si="3"/>
        <v>83</v>
      </c>
    </row>
    <row r="26" spans="6:23" x14ac:dyDescent="0.25">
      <c r="F26" t="s">
        <v>77</v>
      </c>
      <c r="G26">
        <f>MEDIAN(W4:W43)</f>
        <v>68</v>
      </c>
      <c r="W26" s="43">
        <f t="shared" si="3"/>
        <v>87</v>
      </c>
    </row>
    <row r="27" spans="6:23" x14ac:dyDescent="0.25">
      <c r="F27" t="s">
        <v>78</v>
      </c>
      <c r="G27">
        <f>MODE(W4:W43)</f>
        <v>64</v>
      </c>
      <c r="W27" s="43">
        <f t="shared" si="3"/>
        <v>54</v>
      </c>
    </row>
    <row r="28" spans="6:23" x14ac:dyDescent="0.25">
      <c r="F28" t="s">
        <v>79</v>
      </c>
      <c r="G28">
        <f>STDEV(W4:W43)</f>
        <v>16.571213842236432</v>
      </c>
      <c r="W28" s="43">
        <f t="shared" si="3"/>
        <v>45</v>
      </c>
    </row>
    <row r="29" spans="6:23" x14ac:dyDescent="0.25">
      <c r="F29" t="s">
        <v>80</v>
      </c>
      <c r="G29">
        <f>VAR(W4:W43)</f>
        <v>274.60512820512838</v>
      </c>
      <c r="W29" s="43">
        <f t="shared" si="3"/>
        <v>58</v>
      </c>
    </row>
    <row r="30" spans="6:23" x14ac:dyDescent="0.25">
      <c r="F30" t="s">
        <v>81</v>
      </c>
      <c r="G30">
        <f>KURT(W4:W43)</f>
        <v>-0.80131844997494062</v>
      </c>
      <c r="W30" s="43">
        <f t="shared" si="3"/>
        <v>64</v>
      </c>
    </row>
    <row r="31" spans="6:23" x14ac:dyDescent="0.25">
      <c r="F31" t="s">
        <v>82</v>
      </c>
      <c r="G31">
        <f>SKEW(W4:W43)</f>
        <v>-8.8637603694432965E-2</v>
      </c>
      <c r="K31" t="s">
        <v>191</v>
      </c>
      <c r="W31" s="43">
        <f t="shared" si="3"/>
        <v>63</v>
      </c>
    </row>
    <row r="32" spans="6:23" x14ac:dyDescent="0.25">
      <c r="F32" t="s">
        <v>83</v>
      </c>
      <c r="G32">
        <f>G33-G34</f>
        <v>65</v>
      </c>
      <c r="W32" s="43">
        <f t="shared" si="3"/>
        <v>92</v>
      </c>
    </row>
    <row r="33" spans="6:23" x14ac:dyDescent="0.25">
      <c r="F33" t="s">
        <v>85</v>
      </c>
      <c r="G33">
        <f>MAX(W4:W43)</f>
        <v>100</v>
      </c>
      <c r="K33" t="s">
        <v>87</v>
      </c>
      <c r="L33">
        <f>COUNT(W4:W43)</f>
        <v>40</v>
      </c>
      <c r="M33">
        <f>2*L33</f>
        <v>80</v>
      </c>
      <c r="W33" s="43">
        <f t="shared" si="3"/>
        <v>87</v>
      </c>
    </row>
    <row r="34" spans="6:23" x14ac:dyDescent="0.25">
      <c r="F34" t="s">
        <v>84</v>
      </c>
      <c r="G34">
        <f>MIN(W4:W43)</f>
        <v>35</v>
      </c>
      <c r="K34" t="s">
        <v>75</v>
      </c>
      <c r="L34">
        <f>AVERAGE(W4:W43)</f>
        <v>68.400000000000006</v>
      </c>
      <c r="W34" s="43">
        <f t="shared" ref="W34:W43" si="4">D5</f>
        <v>59</v>
      </c>
    </row>
    <row r="35" spans="6:23" x14ac:dyDescent="0.25">
      <c r="F35" t="s">
        <v>86</v>
      </c>
      <c r="G35">
        <f>SUM(W4:W43)</f>
        <v>2736</v>
      </c>
      <c r="K35" t="s">
        <v>164</v>
      </c>
      <c r="L35">
        <f>STDEV(W4:W43)</f>
        <v>16.571213842236432</v>
      </c>
      <c r="W35" s="43">
        <f t="shared" si="4"/>
        <v>68</v>
      </c>
    </row>
    <row r="36" spans="6:23" x14ac:dyDescent="0.25">
      <c r="F36" t="s">
        <v>87</v>
      </c>
      <c r="G36">
        <f>COUNT(W4:W43)</f>
        <v>40</v>
      </c>
      <c r="W36" s="43">
        <f t="shared" si="4"/>
        <v>45</v>
      </c>
    </row>
    <row r="37" spans="6:23" x14ac:dyDescent="0.25">
      <c r="F37" t="s">
        <v>33</v>
      </c>
      <c r="G37">
        <f>GEOMEAN(W4:W43)</f>
        <v>66.306155808571404</v>
      </c>
      <c r="K37" t="s">
        <v>192</v>
      </c>
      <c r="L37" t="s">
        <v>193</v>
      </c>
      <c r="M37" t="s">
        <v>174</v>
      </c>
      <c r="N37" t="s">
        <v>194</v>
      </c>
      <c r="W37" s="43">
        <f t="shared" si="4"/>
        <v>52</v>
      </c>
    </row>
    <row r="38" spans="6:23" x14ac:dyDescent="0.25">
      <c r="F38" t="s">
        <v>90</v>
      </c>
      <c r="G38">
        <f>HARMEAN(W4:W43)</f>
        <v>64.079689256084123</v>
      </c>
      <c r="K38">
        <v>1</v>
      </c>
      <c r="L38">
        <v>35</v>
      </c>
      <c r="M38">
        <f>NORMSINV(K38/M$33)</f>
        <v>-2.2414027276049446</v>
      </c>
      <c r="N38">
        <f>STANDARDIZE(L38,L$34,L$35)</f>
        <v>-2.0155433583791336</v>
      </c>
      <c r="W38" s="43">
        <f t="shared" si="4"/>
        <v>76</v>
      </c>
    </row>
    <row r="39" spans="6:23" x14ac:dyDescent="0.25">
      <c r="F39" t="s">
        <v>91</v>
      </c>
      <c r="G39">
        <f>AVEDEV(W4:W43)</f>
        <v>13.789999999999997</v>
      </c>
      <c r="K39">
        <f>K38+2</f>
        <v>3</v>
      </c>
      <c r="L39">
        <v>38</v>
      </c>
      <c r="M39">
        <f t="shared" ref="M39:M77" si="5">NORMSINV(K39/M$33)</f>
        <v>-1.7804643416920256</v>
      </c>
      <c r="N39">
        <f t="shared" ref="N39:N77" si="6">STANDARDIZE(L39,L$34,L$35)</f>
        <v>-1.8345065297822056</v>
      </c>
      <c r="W39" s="43">
        <f t="shared" si="4"/>
        <v>78</v>
      </c>
    </row>
    <row r="40" spans="6:23" x14ac:dyDescent="0.25">
      <c r="F40" t="s">
        <v>92</v>
      </c>
      <c r="G40" t="e">
        <f ca="1">MAD(W4:W43)</f>
        <v>#NAME?</v>
      </c>
      <c r="K40">
        <f t="shared" ref="K40:K77" si="7">K39+2</f>
        <v>5</v>
      </c>
      <c r="L40">
        <v>45</v>
      </c>
      <c r="M40">
        <f t="shared" si="5"/>
        <v>-1.5341205443525459</v>
      </c>
      <c r="N40">
        <f t="shared" si="6"/>
        <v>-1.4120872630560399</v>
      </c>
      <c r="W40" s="43">
        <f t="shared" si="4"/>
        <v>50</v>
      </c>
    </row>
    <row r="41" spans="6:23" x14ac:dyDescent="0.25">
      <c r="F41" s="11" t="s">
        <v>93</v>
      </c>
      <c r="G41" s="11" t="e">
        <f ca="1">IQR(W4:W43)</f>
        <v>#NAME?</v>
      </c>
      <c r="K41">
        <f t="shared" si="7"/>
        <v>7</v>
      </c>
      <c r="L41">
        <v>45</v>
      </c>
      <c r="M41">
        <f t="shared" si="5"/>
        <v>-1.3563117453352478</v>
      </c>
      <c r="N41">
        <f t="shared" si="6"/>
        <v>-1.4120872630560399</v>
      </c>
      <c r="W41" s="43">
        <f t="shared" si="4"/>
        <v>75</v>
      </c>
    </row>
    <row r="42" spans="6:23" x14ac:dyDescent="0.25">
      <c r="K42">
        <f t="shared" si="7"/>
        <v>9</v>
      </c>
      <c r="L42">
        <v>45</v>
      </c>
      <c r="M42">
        <f t="shared" si="5"/>
        <v>-1.2133396224885178</v>
      </c>
      <c r="N42">
        <f t="shared" si="6"/>
        <v>-1.4120872630560399</v>
      </c>
      <c r="W42" s="43">
        <f t="shared" si="4"/>
        <v>64</v>
      </c>
    </row>
    <row r="43" spans="6:23" x14ac:dyDescent="0.25">
      <c r="K43">
        <f t="shared" si="7"/>
        <v>11</v>
      </c>
      <c r="L43">
        <v>49</v>
      </c>
      <c r="M43">
        <f t="shared" si="5"/>
        <v>-1.091620367434168</v>
      </c>
      <c r="N43">
        <f t="shared" si="6"/>
        <v>-1.1707048249268024</v>
      </c>
      <c r="W43" s="43">
        <f t="shared" si="4"/>
        <v>86</v>
      </c>
    </row>
    <row r="44" spans="6:23" x14ac:dyDescent="0.25">
      <c r="K44">
        <f t="shared" si="7"/>
        <v>13</v>
      </c>
      <c r="L44">
        <v>50</v>
      </c>
      <c r="M44">
        <f t="shared" si="5"/>
        <v>-0.98423496044632541</v>
      </c>
      <c r="N44">
        <f t="shared" si="6"/>
        <v>-1.110359215394493</v>
      </c>
    </row>
    <row r="45" spans="6:23" x14ac:dyDescent="0.25">
      <c r="K45">
        <f t="shared" si="7"/>
        <v>15</v>
      </c>
      <c r="L45">
        <v>52</v>
      </c>
      <c r="M45">
        <f t="shared" si="5"/>
        <v>-0.88714655901887607</v>
      </c>
      <c r="N45">
        <f t="shared" si="6"/>
        <v>-0.98966799632987423</v>
      </c>
    </row>
    <row r="46" spans="6:23" x14ac:dyDescent="0.25">
      <c r="K46">
        <f t="shared" si="7"/>
        <v>17</v>
      </c>
      <c r="L46">
        <v>54</v>
      </c>
      <c r="M46">
        <f t="shared" si="5"/>
        <v>-0.79777684612523825</v>
      </c>
      <c r="N46">
        <f t="shared" si="6"/>
        <v>-0.86897677726525546</v>
      </c>
    </row>
    <row r="47" spans="6:23" x14ac:dyDescent="0.25">
      <c r="K47">
        <f t="shared" si="7"/>
        <v>19</v>
      </c>
      <c r="L47">
        <v>58</v>
      </c>
      <c r="M47">
        <f t="shared" si="5"/>
        <v>-0.71436744028018739</v>
      </c>
      <c r="N47">
        <f t="shared" si="6"/>
        <v>-0.62759433913601792</v>
      </c>
      <c r="P47" t="s">
        <v>175</v>
      </c>
    </row>
    <row r="48" spans="6:23" x14ac:dyDescent="0.25">
      <c r="K48">
        <f t="shared" si="7"/>
        <v>21</v>
      </c>
      <c r="L48">
        <v>58</v>
      </c>
      <c r="M48">
        <f t="shared" si="5"/>
        <v>-0.63565701369758276</v>
      </c>
      <c r="N48">
        <f t="shared" si="6"/>
        <v>-0.62759433913601792</v>
      </c>
    </row>
    <row r="49" spans="11:23" ht="15.75" thickBot="1" x14ac:dyDescent="0.3">
      <c r="K49">
        <f t="shared" si="7"/>
        <v>23</v>
      </c>
      <c r="L49">
        <v>59</v>
      </c>
      <c r="M49">
        <f t="shared" si="5"/>
        <v>-0.5607030318750833</v>
      </c>
      <c r="N49">
        <f t="shared" si="6"/>
        <v>-0.56724872960370853</v>
      </c>
      <c r="P49" t="s">
        <v>176</v>
      </c>
      <c r="S49" t="s">
        <v>114</v>
      </c>
      <c r="T49">
        <v>0.05</v>
      </c>
    </row>
    <row r="50" spans="11:23" ht="15.75" thickTop="1" x14ac:dyDescent="0.25">
      <c r="K50">
        <f t="shared" si="7"/>
        <v>25</v>
      </c>
      <c r="L50">
        <v>59</v>
      </c>
      <c r="M50">
        <f t="shared" si="5"/>
        <v>-0.48877641111466941</v>
      </c>
      <c r="N50">
        <f t="shared" si="6"/>
        <v>-0.56724872960370853</v>
      </c>
      <c r="P50" s="58" t="s">
        <v>87</v>
      </c>
      <c r="Q50" s="58" t="s">
        <v>75</v>
      </c>
      <c r="R50" s="58" t="s">
        <v>164</v>
      </c>
      <c r="S50" s="58" t="s">
        <v>165</v>
      </c>
      <c r="T50" s="58" t="s">
        <v>177</v>
      </c>
      <c r="U50" s="58" t="s">
        <v>168</v>
      </c>
      <c r="V50" s="58" t="s">
        <v>178</v>
      </c>
      <c r="W50" s="58" t="s">
        <v>179</v>
      </c>
    </row>
    <row r="51" spans="11:23" x14ac:dyDescent="0.25">
      <c r="K51">
        <f t="shared" si="7"/>
        <v>27</v>
      </c>
      <c r="L51">
        <v>60</v>
      </c>
      <c r="M51">
        <f t="shared" si="5"/>
        <v>-0.41929575304139605</v>
      </c>
      <c r="N51">
        <f t="shared" si="6"/>
        <v>-0.50690312007139915</v>
      </c>
      <c r="P51">
        <f>COUNT(A5:D14)</f>
        <v>40</v>
      </c>
      <c r="Q51">
        <f>AVERAGE(A5:D14)</f>
        <v>68.400000000000006</v>
      </c>
      <c r="R51">
        <f>STDEV(A5:D14)</f>
        <v>16.571213842236432</v>
      </c>
      <c r="S51">
        <f>R51/SQRT(P51)</f>
        <v>2.6201389667588639</v>
      </c>
      <c r="T51">
        <f>(Q51-T53)/S51</f>
        <v>-3.6639277999347044</v>
      </c>
      <c r="U51">
        <f>P51-1</f>
        <v>39</v>
      </c>
      <c r="V51">
        <f>ABS(Q51-T53)/R51</f>
        <v>0.57931785151016968</v>
      </c>
      <c r="W51">
        <f>SQRT(T51^2/(T51^2+U51))</f>
        <v>0.50603471310739712</v>
      </c>
    </row>
    <row r="52" spans="11:23" x14ac:dyDescent="0.25">
      <c r="K52">
        <f t="shared" si="7"/>
        <v>29</v>
      </c>
      <c r="L52">
        <v>63</v>
      </c>
      <c r="M52">
        <f t="shared" si="5"/>
        <v>-0.35178434493515626</v>
      </c>
      <c r="N52">
        <f t="shared" si="6"/>
        <v>-0.32586629147447099</v>
      </c>
      <c r="P52" s="5"/>
      <c r="Q52" s="5"/>
      <c r="R52" s="5"/>
      <c r="S52" s="5"/>
      <c r="T52" s="5"/>
      <c r="U52" s="5"/>
      <c r="V52" s="5"/>
      <c r="W52" s="5"/>
    </row>
    <row r="53" spans="11:23" ht="15.75" thickBot="1" x14ac:dyDescent="0.3">
      <c r="K53">
        <f t="shared" si="7"/>
        <v>31</v>
      </c>
      <c r="L53">
        <v>63</v>
      </c>
      <c r="M53">
        <f t="shared" si="5"/>
        <v>-0.28584087488116566</v>
      </c>
      <c r="N53">
        <f t="shared" si="6"/>
        <v>-0.32586629147447099</v>
      </c>
      <c r="P53" t="s">
        <v>180</v>
      </c>
      <c r="S53" t="s">
        <v>167</v>
      </c>
      <c r="T53">
        <v>78</v>
      </c>
    </row>
    <row r="54" spans="11:23" ht="15.75" thickTop="1" x14ac:dyDescent="0.25">
      <c r="K54">
        <f t="shared" si="7"/>
        <v>33</v>
      </c>
      <c r="L54">
        <v>64</v>
      </c>
      <c r="M54">
        <f t="shared" si="5"/>
        <v>-0.22111871299757052</v>
      </c>
      <c r="N54">
        <f t="shared" si="6"/>
        <v>-0.26552068194216161</v>
      </c>
      <c r="P54" s="58" t="s">
        <v>181</v>
      </c>
      <c r="Q54" s="58" t="s">
        <v>182</v>
      </c>
      <c r="R54" s="58" t="s">
        <v>183</v>
      </c>
      <c r="S54" s="58" t="s">
        <v>102</v>
      </c>
      <c r="T54" s="58" t="s">
        <v>103</v>
      </c>
      <c r="U54" s="58" t="s">
        <v>381</v>
      </c>
    </row>
    <row r="55" spans="11:23" x14ac:dyDescent="0.25">
      <c r="K55">
        <f t="shared" si="7"/>
        <v>35</v>
      </c>
      <c r="L55">
        <v>64</v>
      </c>
      <c r="M55">
        <f t="shared" si="5"/>
        <v>-0.1573106846101707</v>
      </c>
      <c r="N55">
        <f t="shared" si="6"/>
        <v>-0.26552068194216161</v>
      </c>
      <c r="P55" t="s">
        <v>185</v>
      </c>
      <c r="Q55">
        <f>TDIST(ABS(T51),U51,1)</f>
        <v>3.6855131038946804E-4</v>
      </c>
      <c r="R55">
        <f>TINV(T49*2,U51)</f>
        <v>1.6848751217112248</v>
      </c>
      <c r="U55" s="33" t="str">
        <f>IF(Q55&lt;T49,"yes","no")</f>
        <v>yes</v>
      </c>
    </row>
    <row r="56" spans="11:23" x14ac:dyDescent="0.25">
      <c r="K56">
        <f t="shared" si="7"/>
        <v>37</v>
      </c>
      <c r="L56">
        <v>64</v>
      </c>
      <c r="M56">
        <f t="shared" si="5"/>
        <v>-9.4137414323536367E-2</v>
      </c>
      <c r="N56">
        <f t="shared" si="6"/>
        <v>-0.26552068194216161</v>
      </c>
      <c r="P56" s="276" t="s">
        <v>186</v>
      </c>
      <c r="Q56" s="276">
        <f>TDIST(ABS(T51),U51,2)</f>
        <v>7.3710262077893607E-4</v>
      </c>
      <c r="R56" s="276">
        <f>TINV(T49,U51)</f>
        <v>2.0226909200367595</v>
      </c>
      <c r="S56" s="276">
        <f>Q51-R56*S51</f>
        <v>63.100268702702351</v>
      </c>
      <c r="T56" s="276">
        <f>Q51+R56*S51</f>
        <v>73.69973129729766</v>
      </c>
      <c r="U56" s="527" t="str">
        <f>IF(Q56&lt;T49,"yes","no")</f>
        <v>yes</v>
      </c>
    </row>
    <row r="57" spans="11:23" x14ac:dyDescent="0.25">
      <c r="K57">
        <f t="shared" si="7"/>
        <v>39</v>
      </c>
      <c r="L57">
        <v>68</v>
      </c>
      <c r="M57">
        <f t="shared" si="5"/>
        <v>-3.1337982021426625E-2</v>
      </c>
      <c r="N57">
        <f t="shared" si="6"/>
        <v>-2.4138243812924096E-2</v>
      </c>
    </row>
    <row r="58" spans="11:23" x14ac:dyDescent="0.25">
      <c r="K58">
        <f t="shared" si="7"/>
        <v>41</v>
      </c>
      <c r="L58">
        <v>68</v>
      </c>
      <c r="M58">
        <f t="shared" si="5"/>
        <v>3.1337982021426479E-2</v>
      </c>
      <c r="N58">
        <f t="shared" si="6"/>
        <v>-2.4138243812924096E-2</v>
      </c>
    </row>
    <row r="59" spans="11:23" x14ac:dyDescent="0.25">
      <c r="K59">
        <f t="shared" si="7"/>
        <v>43</v>
      </c>
      <c r="L59">
        <v>68</v>
      </c>
      <c r="M59">
        <f t="shared" si="5"/>
        <v>9.4137414323536367E-2</v>
      </c>
      <c r="N59">
        <f t="shared" si="6"/>
        <v>-2.4138243812924096E-2</v>
      </c>
      <c r="P59" s="1" t="s">
        <v>365</v>
      </c>
    </row>
    <row r="60" spans="11:23" x14ac:dyDescent="0.25">
      <c r="K60">
        <f t="shared" si="7"/>
        <v>45</v>
      </c>
      <c r="L60">
        <v>72</v>
      </c>
      <c r="M60">
        <f t="shared" si="5"/>
        <v>0.1573106846101707</v>
      </c>
      <c r="N60">
        <f t="shared" si="6"/>
        <v>0.21724419431631342</v>
      </c>
    </row>
    <row r="61" spans="11:23" x14ac:dyDescent="0.25">
      <c r="K61">
        <f t="shared" si="7"/>
        <v>47</v>
      </c>
      <c r="L61">
        <v>75</v>
      </c>
      <c r="M61">
        <f t="shared" si="5"/>
        <v>0.22111871299757052</v>
      </c>
      <c r="N61">
        <f t="shared" si="6"/>
        <v>0.39828102291324158</v>
      </c>
      <c r="P61" t="s">
        <v>151</v>
      </c>
      <c r="Q61" s="154" t="e">
        <f ca="1">CONFIDENCE_T(T49,R51,P51)</f>
        <v>#NAME?</v>
      </c>
      <c r="S61" s="154" t="e">
        <f ca="1">T_CONF(A5:D14,T49)</f>
        <v>#NAME?</v>
      </c>
    </row>
    <row r="62" spans="11:23" x14ac:dyDescent="0.25">
      <c r="K62">
        <f t="shared" si="7"/>
        <v>49</v>
      </c>
      <c r="L62">
        <v>75</v>
      </c>
      <c r="M62">
        <f t="shared" si="5"/>
        <v>0.28584087488116572</v>
      </c>
      <c r="N62">
        <f t="shared" si="6"/>
        <v>0.39828102291324158</v>
      </c>
      <c r="P62" t="s">
        <v>102</v>
      </c>
      <c r="Q62" s="163" t="e">
        <f ca="1">Q51-Q61</f>
        <v>#NAME?</v>
      </c>
      <c r="S62" s="163" t="e">
        <f ca="1">T_LOWER(A5:D14,T49)</f>
        <v>#NAME?</v>
      </c>
    </row>
    <row r="63" spans="11:23" x14ac:dyDescent="0.25">
      <c r="K63">
        <f t="shared" si="7"/>
        <v>51</v>
      </c>
      <c r="L63">
        <v>76</v>
      </c>
      <c r="M63">
        <f t="shared" si="5"/>
        <v>0.35178434493515615</v>
      </c>
      <c r="N63">
        <f t="shared" si="6"/>
        <v>0.45862663244555096</v>
      </c>
      <c r="P63" t="s">
        <v>103</v>
      </c>
      <c r="Q63" s="155" t="e">
        <f ca="1">Q51+Q61</f>
        <v>#NAME?</v>
      </c>
      <c r="S63" s="155" t="e">
        <f ca="1">T_UPPER(A5:D14,T49)</f>
        <v>#NAME?</v>
      </c>
    </row>
    <row r="64" spans="11:23" x14ac:dyDescent="0.25">
      <c r="K64">
        <f t="shared" si="7"/>
        <v>53</v>
      </c>
      <c r="L64">
        <v>76</v>
      </c>
      <c r="M64">
        <f t="shared" si="5"/>
        <v>0.41929575304139605</v>
      </c>
      <c r="N64">
        <f t="shared" si="6"/>
        <v>0.45862663244555096</v>
      </c>
    </row>
    <row r="65" spans="11:14" x14ac:dyDescent="0.25">
      <c r="K65">
        <f t="shared" si="7"/>
        <v>55</v>
      </c>
      <c r="L65">
        <v>78</v>
      </c>
      <c r="M65">
        <f t="shared" si="5"/>
        <v>0.48877641111466941</v>
      </c>
      <c r="N65">
        <f t="shared" si="6"/>
        <v>0.57931785151016968</v>
      </c>
    </row>
    <row r="66" spans="11:14" x14ac:dyDescent="0.25">
      <c r="K66">
        <f t="shared" si="7"/>
        <v>57</v>
      </c>
      <c r="L66">
        <v>80</v>
      </c>
      <c r="M66">
        <f t="shared" si="5"/>
        <v>0.5607030318750833</v>
      </c>
      <c r="N66">
        <f t="shared" si="6"/>
        <v>0.70000907057478845</v>
      </c>
    </row>
    <row r="67" spans="11:14" x14ac:dyDescent="0.25">
      <c r="K67">
        <f t="shared" si="7"/>
        <v>59</v>
      </c>
      <c r="L67">
        <v>81</v>
      </c>
      <c r="M67">
        <f t="shared" si="5"/>
        <v>0.63565701369758265</v>
      </c>
      <c r="N67">
        <f t="shared" si="6"/>
        <v>0.76035468010709784</v>
      </c>
    </row>
    <row r="68" spans="11:14" x14ac:dyDescent="0.25">
      <c r="K68">
        <f t="shared" si="7"/>
        <v>61</v>
      </c>
      <c r="L68">
        <v>83</v>
      </c>
      <c r="M68">
        <f t="shared" si="5"/>
        <v>0.71436744028018784</v>
      </c>
      <c r="N68">
        <f t="shared" si="6"/>
        <v>0.88104589917171661</v>
      </c>
    </row>
    <row r="69" spans="11:14" x14ac:dyDescent="0.25">
      <c r="K69">
        <f t="shared" si="7"/>
        <v>63</v>
      </c>
      <c r="L69">
        <v>84</v>
      </c>
      <c r="M69">
        <f t="shared" si="5"/>
        <v>0.79777684612523825</v>
      </c>
      <c r="N69">
        <f t="shared" si="6"/>
        <v>0.94139150870402599</v>
      </c>
    </row>
    <row r="70" spans="11:14" x14ac:dyDescent="0.25">
      <c r="K70">
        <f t="shared" si="7"/>
        <v>65</v>
      </c>
      <c r="L70">
        <v>86</v>
      </c>
      <c r="M70">
        <f t="shared" si="5"/>
        <v>0.88714655901887607</v>
      </c>
      <c r="N70">
        <f t="shared" si="6"/>
        <v>1.0620827277686449</v>
      </c>
    </row>
    <row r="71" spans="11:14" x14ac:dyDescent="0.25">
      <c r="K71">
        <f t="shared" si="7"/>
        <v>67</v>
      </c>
      <c r="L71">
        <v>87</v>
      </c>
      <c r="M71">
        <f t="shared" si="5"/>
        <v>0.98423496044632541</v>
      </c>
      <c r="N71">
        <f t="shared" si="6"/>
        <v>1.1224283373009543</v>
      </c>
    </row>
    <row r="72" spans="11:14" x14ac:dyDescent="0.25">
      <c r="K72">
        <f t="shared" si="7"/>
        <v>69</v>
      </c>
      <c r="L72">
        <v>87</v>
      </c>
      <c r="M72">
        <f t="shared" si="5"/>
        <v>1.0916203674341685</v>
      </c>
      <c r="N72">
        <f t="shared" si="6"/>
        <v>1.1224283373009543</v>
      </c>
    </row>
    <row r="73" spans="11:14" x14ac:dyDescent="0.25">
      <c r="K73">
        <f t="shared" si="7"/>
        <v>71</v>
      </c>
      <c r="L73">
        <v>90</v>
      </c>
      <c r="M73">
        <f t="shared" si="5"/>
        <v>1.213339622488518</v>
      </c>
      <c r="N73">
        <f t="shared" si="6"/>
        <v>1.3034651658978822</v>
      </c>
    </row>
    <row r="74" spans="11:14" x14ac:dyDescent="0.25">
      <c r="K74">
        <f t="shared" si="7"/>
        <v>73</v>
      </c>
      <c r="L74">
        <v>90</v>
      </c>
      <c r="M74">
        <f t="shared" si="5"/>
        <v>1.3563117453352478</v>
      </c>
      <c r="N74">
        <f t="shared" si="6"/>
        <v>1.3034651658978822</v>
      </c>
    </row>
    <row r="75" spans="11:14" x14ac:dyDescent="0.25">
      <c r="K75">
        <f t="shared" si="7"/>
        <v>75</v>
      </c>
      <c r="L75">
        <v>92</v>
      </c>
      <c r="M75">
        <f t="shared" si="5"/>
        <v>1.5341205443525465</v>
      </c>
      <c r="N75">
        <f t="shared" si="6"/>
        <v>1.424156384962501</v>
      </c>
    </row>
    <row r="76" spans="11:14" x14ac:dyDescent="0.25">
      <c r="K76">
        <f t="shared" si="7"/>
        <v>77</v>
      </c>
      <c r="L76">
        <v>95</v>
      </c>
      <c r="M76">
        <f t="shared" si="5"/>
        <v>1.7804643416920258</v>
      </c>
      <c r="N76">
        <f t="shared" si="6"/>
        <v>1.6051932135594291</v>
      </c>
    </row>
    <row r="77" spans="11:14" x14ac:dyDescent="0.25">
      <c r="K77">
        <f t="shared" si="7"/>
        <v>79</v>
      </c>
      <c r="L77">
        <v>100</v>
      </c>
      <c r="M77">
        <f t="shared" si="5"/>
        <v>2.2414027276049464</v>
      </c>
      <c r="N77">
        <f t="shared" si="6"/>
        <v>1.906921261220976</v>
      </c>
    </row>
  </sheetData>
  <sortState ref="K4:K14">
    <sortCondition ref="K19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O34"/>
  <sheetViews>
    <sheetView workbookViewId="0"/>
  </sheetViews>
  <sheetFormatPr defaultRowHeight="15" x14ac:dyDescent="0.25"/>
  <cols>
    <col min="1" max="1" width="2.5703125" customWidth="1"/>
    <col min="2" max="5" width="5.5703125" customWidth="1"/>
    <col min="6" max="6" width="4.140625" customWidth="1"/>
    <col min="7" max="7" width="12.7109375" customWidth="1"/>
    <col min="9" max="9" width="3.28515625" customWidth="1"/>
    <col min="10" max="10" width="24.140625" customWidth="1"/>
    <col min="12" max="12" width="13.140625" customWidth="1"/>
    <col min="14" max="14" width="3.140625" customWidth="1"/>
    <col min="15" max="15" width="34.28515625" customWidth="1"/>
  </cols>
  <sheetData>
    <row r="1" spans="1:15" x14ac:dyDescent="0.25">
      <c r="A1" s="1" t="s">
        <v>1705</v>
      </c>
    </row>
    <row r="3" spans="1:15" x14ac:dyDescent="0.25">
      <c r="B3" s="60">
        <v>63</v>
      </c>
      <c r="C3" s="332">
        <v>58</v>
      </c>
      <c r="D3" s="332">
        <v>76</v>
      </c>
      <c r="E3" s="55">
        <v>59</v>
      </c>
      <c r="G3" t="s">
        <v>403</v>
      </c>
      <c r="H3" s="486">
        <f>AVERAGE(B3:E12)</f>
        <v>68.400000000000006</v>
      </c>
      <c r="J3" t="e">
        <f ca="1">FTEXT(H3)</f>
        <v>#NAME?</v>
      </c>
      <c r="L3" t="s">
        <v>403</v>
      </c>
      <c r="M3" s="486">
        <f>AVERAGE(B3:E12)</f>
        <v>68.400000000000006</v>
      </c>
      <c r="O3" t="e">
        <f ca="1">FTEXT(M3)</f>
        <v>#NAME?</v>
      </c>
    </row>
    <row r="4" spans="1:15" x14ac:dyDescent="0.25">
      <c r="B4" s="585">
        <v>95</v>
      </c>
      <c r="C4" s="63">
        <v>84</v>
      </c>
      <c r="D4" s="63">
        <v>83</v>
      </c>
      <c r="E4" s="56">
        <v>68</v>
      </c>
      <c r="G4" t="s">
        <v>462</v>
      </c>
      <c r="H4" s="163">
        <v>78</v>
      </c>
      <c r="L4" t="s">
        <v>462</v>
      </c>
      <c r="M4" s="163">
        <v>78</v>
      </c>
    </row>
    <row r="5" spans="1:15" x14ac:dyDescent="0.25">
      <c r="B5" s="585">
        <v>81</v>
      </c>
      <c r="C5" s="63">
        <v>90</v>
      </c>
      <c r="D5" s="63">
        <v>87</v>
      </c>
      <c r="E5" s="56">
        <v>45</v>
      </c>
      <c r="G5" t="s">
        <v>1706</v>
      </c>
      <c r="H5" s="163">
        <f>STDEV(B3:E12)</f>
        <v>16.571213842236432</v>
      </c>
      <c r="J5" s="22" t="s">
        <v>1707</v>
      </c>
      <c r="L5" t="s">
        <v>1706</v>
      </c>
      <c r="M5" s="163">
        <f>STDEV(B3:E12)</f>
        <v>16.571213842236432</v>
      </c>
      <c r="O5" s="22" t="s">
        <v>1707</v>
      </c>
    </row>
    <row r="6" spans="1:15" x14ac:dyDescent="0.25">
      <c r="B6" s="585">
        <v>75</v>
      </c>
      <c r="C6" s="63">
        <v>38</v>
      </c>
      <c r="D6" s="63">
        <v>54</v>
      </c>
      <c r="E6" s="56">
        <v>52</v>
      </c>
      <c r="G6" t="s">
        <v>396</v>
      </c>
      <c r="H6" s="163">
        <f>COUNT(B3:E12)</f>
        <v>40</v>
      </c>
      <c r="J6" t="e">
        <f ca="1">FTEXT(H6)</f>
        <v>#NAME?</v>
      </c>
      <c r="L6" t="s">
        <v>396</v>
      </c>
      <c r="M6" s="163">
        <f>COUNT(B3:E12)</f>
        <v>40</v>
      </c>
      <c r="O6" t="e">
        <f ca="1">FTEXT(M6)</f>
        <v>#NAME?</v>
      </c>
    </row>
    <row r="7" spans="1:15" x14ac:dyDescent="0.25">
      <c r="B7" s="585">
        <v>90</v>
      </c>
      <c r="C7" s="63">
        <v>100</v>
      </c>
      <c r="D7" s="63">
        <v>45</v>
      </c>
      <c r="E7" s="56">
        <v>76</v>
      </c>
      <c r="G7" t="s">
        <v>262</v>
      </c>
      <c r="H7" s="163">
        <v>0.05</v>
      </c>
      <c r="L7" t="s">
        <v>262</v>
      </c>
      <c r="M7" s="163">
        <v>0.05</v>
      </c>
    </row>
    <row r="8" spans="1:15" x14ac:dyDescent="0.25">
      <c r="B8" s="585">
        <v>64</v>
      </c>
      <c r="C8" s="63">
        <v>80</v>
      </c>
      <c r="D8" s="63">
        <v>58</v>
      </c>
      <c r="E8" s="56">
        <v>78</v>
      </c>
      <c r="G8" t="s">
        <v>1708</v>
      </c>
      <c r="H8" s="163">
        <f>(H3-H4)/H5</f>
        <v>-0.57931785151016968</v>
      </c>
      <c r="J8" t="e">
        <f ca="1">FTEXT(H8)</f>
        <v>#NAME?</v>
      </c>
      <c r="L8" t="s">
        <v>1708</v>
      </c>
      <c r="M8" s="163">
        <f>(M3-M4)/M5</f>
        <v>-0.57931785151016968</v>
      </c>
      <c r="O8" t="e">
        <f ca="1">FTEXT(M8)</f>
        <v>#NAME?</v>
      </c>
    </row>
    <row r="9" spans="1:15" x14ac:dyDescent="0.25">
      <c r="B9" s="585">
        <v>45</v>
      </c>
      <c r="C9" s="63">
        <v>68</v>
      </c>
      <c r="D9" s="63">
        <v>64</v>
      </c>
      <c r="E9" s="56">
        <v>50</v>
      </c>
      <c r="G9" s="408" t="s">
        <v>357</v>
      </c>
      <c r="H9" s="163">
        <f>NORMSINV(1-H7/2)</f>
        <v>1.9599639845400536</v>
      </c>
      <c r="J9" s="22" t="s">
        <v>1709</v>
      </c>
      <c r="L9" s="408" t="s">
        <v>1710</v>
      </c>
      <c r="M9" s="163">
        <f>M8*SQRT(M6)</f>
        <v>-3.6639277999347044</v>
      </c>
      <c r="O9" t="e">
        <f ca="1">FTEXT(M9)</f>
        <v>#NAME?</v>
      </c>
    </row>
    <row r="10" spans="1:15" x14ac:dyDescent="0.25">
      <c r="B10" s="585">
        <v>59</v>
      </c>
      <c r="C10" s="63">
        <v>49</v>
      </c>
      <c r="D10" s="63">
        <v>63</v>
      </c>
      <c r="E10" s="56">
        <v>75</v>
      </c>
      <c r="G10" s="408" t="s">
        <v>1700</v>
      </c>
      <c r="H10" s="163">
        <f>SQRT(1/H6+H8^2/(2*H6))</f>
        <v>0.17086577967363589</v>
      </c>
      <c r="J10" t="e">
        <f ca="1">FTEXT(H10)</f>
        <v>#NAME?</v>
      </c>
      <c r="L10" s="408" t="s">
        <v>168</v>
      </c>
      <c r="M10" s="163">
        <f>M6-1</f>
        <v>39</v>
      </c>
      <c r="O10" t="e">
        <f ca="1">FTEXT(M10)</f>
        <v>#NAME?</v>
      </c>
    </row>
    <row r="11" spans="1:15" x14ac:dyDescent="0.25">
      <c r="B11" s="585">
        <v>72</v>
      </c>
      <c r="C11" s="63">
        <v>68</v>
      </c>
      <c r="D11" s="63">
        <v>92</v>
      </c>
      <c r="E11" s="56">
        <v>64</v>
      </c>
      <c r="G11" s="408" t="s">
        <v>1220</v>
      </c>
      <c r="H11" s="163">
        <f>H8-H10*H9</f>
        <v>-0.91420862586085194</v>
      </c>
      <c r="J11" t="e">
        <f ca="1">FTEXT(H11)</f>
        <v>#NAME?</v>
      </c>
      <c r="L11" s="408" t="s">
        <v>1220</v>
      </c>
      <c r="M11" s="163" t="e">
        <f ca="1">NT_NCP(1-M7/2,M10,M9)/SQRT(M6)</f>
        <v>#NAME?</v>
      </c>
      <c r="O11" t="e">
        <f ca="1">FTEXT(M11)</f>
        <v>#NAME?</v>
      </c>
    </row>
    <row r="12" spans="1:15" x14ac:dyDescent="0.25">
      <c r="B12" s="586">
        <v>35</v>
      </c>
      <c r="C12" s="587">
        <v>60</v>
      </c>
      <c r="D12" s="587">
        <v>87</v>
      </c>
      <c r="E12" s="588">
        <v>86</v>
      </c>
      <c r="G12" s="408" t="s">
        <v>1221</v>
      </c>
      <c r="H12" s="155">
        <f>H8+H10*H9</f>
        <v>-0.24442707715948736</v>
      </c>
      <c r="J12" t="e">
        <f ca="1">FTEXT(H12)</f>
        <v>#NAME?</v>
      </c>
      <c r="L12" s="408" t="s">
        <v>1221</v>
      </c>
      <c r="M12" s="155" t="e">
        <f ca="1">NT_NCP(M7/2,M10,M9)/SQRT(M6)</f>
        <v>#NAME?</v>
      </c>
      <c r="O12" t="e">
        <f ca="1">FTEXT(M12)</f>
        <v>#NAME?</v>
      </c>
    </row>
    <row r="14" spans="1:15" x14ac:dyDescent="0.25">
      <c r="G14" s="408" t="s">
        <v>1711</v>
      </c>
      <c r="H14" s="205">
        <f>H8*(1-3/(4*(H6-1)-1))</f>
        <v>-0.56810524793255346</v>
      </c>
      <c r="J14" t="e">
        <f ca="1">FTEXT(H14)</f>
        <v>#NAME?</v>
      </c>
      <c r="L14" s="408" t="s">
        <v>1711</v>
      </c>
      <c r="M14" s="205">
        <f>M8*(1-3/(4*M10-1))</f>
        <v>-0.56810524793255346</v>
      </c>
      <c r="O14" t="e">
        <f ca="1">FTEXT(M14)</f>
        <v>#NAME?</v>
      </c>
    </row>
    <row r="16" spans="1:15" x14ac:dyDescent="0.25">
      <c r="G16" t="e">
        <f t="array" aca="1" ref="G16:H19" ca="1">T_EFFECT1(H3-H4,H5,H6,TRUE,H7,0)</f>
        <v>#NAME?</v>
      </c>
      <c r="H16" s="486" t="e">
        <f ca="1"/>
        <v>#NAME?</v>
      </c>
      <c r="L16" t="e">
        <f t="array" aca="1" ref="L16:M19" ca="1">T_EFFECT1(M3-M4,M5,M6,TRUE,H7)</f>
        <v>#NAME?</v>
      </c>
      <c r="M16" s="486" t="e">
        <f ca="1"/>
        <v>#NAME?</v>
      </c>
    </row>
    <row r="17" spans="7:13" x14ac:dyDescent="0.25">
      <c r="G17" t="e">
        <f ca="1"/>
        <v>#NAME?</v>
      </c>
      <c r="H17" s="163" t="e">
        <f ca="1"/>
        <v>#NAME?</v>
      </c>
      <c r="L17" t="e">
        <f ca="1"/>
        <v>#NAME?</v>
      </c>
      <c r="M17" s="163" t="e">
        <f ca="1"/>
        <v>#NAME?</v>
      </c>
    </row>
    <row r="18" spans="7:13" x14ac:dyDescent="0.25">
      <c r="G18" t="e">
        <f ca="1"/>
        <v>#NAME?</v>
      </c>
      <c r="H18" s="163" t="e">
        <f ca="1"/>
        <v>#NAME?</v>
      </c>
      <c r="L18" t="e">
        <f ca="1"/>
        <v>#NAME?</v>
      </c>
      <c r="M18" s="163" t="e">
        <f ca="1"/>
        <v>#NAME?</v>
      </c>
    </row>
    <row r="19" spans="7:13" x14ac:dyDescent="0.25">
      <c r="G19" t="e">
        <f ca="1"/>
        <v>#NAME?</v>
      </c>
      <c r="H19" s="155" t="e">
        <f ca="1"/>
        <v>#NAME?</v>
      </c>
      <c r="L19" t="e">
        <f ca="1"/>
        <v>#NAME?</v>
      </c>
      <c r="M19" s="155" t="e">
        <f ca="1"/>
        <v>#NAME?</v>
      </c>
    </row>
    <row r="21" spans="7:13" x14ac:dyDescent="0.25">
      <c r="G21" t="e">
        <f ca="1">FTEXT(H16)</f>
        <v>#NAME?</v>
      </c>
      <c r="L21" t="e">
        <f ca="1">FTEXT(M16)</f>
        <v>#NAME?</v>
      </c>
    </row>
    <row r="23" spans="7:13" x14ac:dyDescent="0.25">
      <c r="G23" t="e">
        <f t="array" aca="1" ref="G23:H26" ca="1">TT_EFFECT1(B3:E12,H4,TRUE,H7,0)</f>
        <v>#NAME?</v>
      </c>
      <c r="H23" s="486" t="e">
        <f ca="1"/>
        <v>#NAME?</v>
      </c>
      <c r="L23" t="e">
        <f t="array" aca="1" ref="L23:M26" ca="1">TT_EFFECT1(B3:E12,M4,TRUE,H7)</f>
        <v>#NAME?</v>
      </c>
      <c r="M23" s="486" t="e">
        <f ca="1"/>
        <v>#NAME?</v>
      </c>
    </row>
    <row r="24" spans="7:13" x14ac:dyDescent="0.25">
      <c r="G24" t="e">
        <f ca="1"/>
        <v>#NAME?</v>
      </c>
      <c r="H24" s="163" t="e">
        <f ca="1"/>
        <v>#NAME?</v>
      </c>
      <c r="L24" t="e">
        <f ca="1"/>
        <v>#NAME?</v>
      </c>
      <c r="M24" s="163" t="e">
        <f ca="1"/>
        <v>#NAME?</v>
      </c>
    </row>
    <row r="25" spans="7:13" x14ac:dyDescent="0.25">
      <c r="G25" t="e">
        <f ca="1"/>
        <v>#NAME?</v>
      </c>
      <c r="H25" s="163" t="e">
        <f ca="1"/>
        <v>#NAME?</v>
      </c>
      <c r="L25" t="e">
        <f ca="1"/>
        <v>#NAME?</v>
      </c>
      <c r="M25" s="163" t="e">
        <f ca="1"/>
        <v>#NAME?</v>
      </c>
    </row>
    <row r="26" spans="7:13" x14ac:dyDescent="0.25">
      <c r="G26" t="e">
        <f ca="1"/>
        <v>#NAME?</v>
      </c>
      <c r="H26" s="155" t="e">
        <f ca="1"/>
        <v>#NAME?</v>
      </c>
      <c r="L26" t="e">
        <f ca="1"/>
        <v>#NAME?</v>
      </c>
      <c r="M26" s="155" t="e">
        <f ca="1"/>
        <v>#NAME?</v>
      </c>
    </row>
    <row r="28" spans="7:13" x14ac:dyDescent="0.25">
      <c r="G28" t="e">
        <f ca="1">FTEXT(H23)</f>
        <v>#NAME?</v>
      </c>
      <c r="L28" t="e">
        <f ca="1">FTEXT(M23)</f>
        <v>#NAME?</v>
      </c>
    </row>
    <row r="30" spans="7:13" x14ac:dyDescent="0.25">
      <c r="L30" t="e">
        <f t="array" aca="1" ref="L30:M32" ca="1">T1_POWER_CONF(M8,M6,2,TRUE)</f>
        <v>#NAME?</v>
      </c>
      <c r="M30" s="486" t="e">
        <f ca="1"/>
        <v>#NAME?</v>
      </c>
    </row>
    <row r="31" spans="7:13" x14ac:dyDescent="0.25">
      <c r="L31" t="e">
        <f ca="1"/>
        <v>#NAME?</v>
      </c>
      <c r="M31" s="163" t="e">
        <f ca="1"/>
        <v>#NAME?</v>
      </c>
    </row>
    <row r="32" spans="7:13" x14ac:dyDescent="0.25">
      <c r="L32" t="e">
        <f ca="1"/>
        <v>#NAME?</v>
      </c>
      <c r="M32" s="155" t="e">
        <f ca="1"/>
        <v>#NAME?</v>
      </c>
    </row>
    <row r="34" spans="12:12" x14ac:dyDescent="0.25">
      <c r="L34" t="e">
        <f ca="1">FTEXT(L30)</f>
        <v>#NAME?</v>
      </c>
    </row>
  </sheetData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C11"/>
  <sheetViews>
    <sheetView workbookViewId="0"/>
  </sheetViews>
  <sheetFormatPr defaultRowHeight="15" x14ac:dyDescent="0.25"/>
  <sheetData>
    <row r="1" spans="1:3" x14ac:dyDescent="0.25">
      <c r="A1" s="1" t="s">
        <v>1649</v>
      </c>
    </row>
    <row r="3" spans="1:3" x14ac:dyDescent="0.25">
      <c r="A3" t="s">
        <v>63</v>
      </c>
      <c r="B3">
        <f>'1 Sample T 2'!G5</f>
        <v>68.400000000000006</v>
      </c>
      <c r="C3">
        <f>B3</f>
        <v>68.400000000000006</v>
      </c>
    </row>
    <row r="4" spans="1:3" x14ac:dyDescent="0.25">
      <c r="A4" t="s">
        <v>66</v>
      </c>
      <c r="B4">
        <f>'1 Sample T 2'!G9</f>
        <v>16.5712138422364</v>
      </c>
      <c r="C4">
        <f>B4</f>
        <v>16.5712138422364</v>
      </c>
    </row>
    <row r="5" spans="1:3" x14ac:dyDescent="0.25">
      <c r="A5" t="s">
        <v>105</v>
      </c>
      <c r="B5">
        <f>'1 Sample T 2'!G17</f>
        <v>40</v>
      </c>
      <c r="C5">
        <f>B5</f>
        <v>40</v>
      </c>
    </row>
    <row r="6" spans="1:3" x14ac:dyDescent="0.25">
      <c r="A6" t="s">
        <v>382</v>
      </c>
      <c r="B6">
        <v>1</v>
      </c>
      <c r="C6">
        <v>40</v>
      </c>
    </row>
    <row r="7" spans="1:3" x14ac:dyDescent="0.25">
      <c r="A7" t="s">
        <v>173</v>
      </c>
      <c r="B7">
        <f>'1 Sample T 2'!R56</f>
        <v>2.0226909200367595</v>
      </c>
      <c r="C7">
        <f>B7</f>
        <v>2.0226909200367595</v>
      </c>
    </row>
    <row r="8" spans="1:3" x14ac:dyDescent="0.25">
      <c r="A8" t="s">
        <v>372</v>
      </c>
      <c r="B8">
        <f>SQRT(B4^2/B5+B4^2/B6)</f>
        <v>16.777075323495911</v>
      </c>
      <c r="C8">
        <f>SQRT(C4^2/C5+C4^2/C6)</f>
        <v>3.7054360620926063</v>
      </c>
    </row>
    <row r="9" spans="1:3" x14ac:dyDescent="0.25">
      <c r="A9" t="s">
        <v>151</v>
      </c>
      <c r="B9">
        <f>B7*B8</f>
        <v>33.934837921607958</v>
      </c>
      <c r="C9">
        <f>C7*C8</f>
        <v>7.4949518775714816</v>
      </c>
    </row>
    <row r="10" spans="1:3" x14ac:dyDescent="0.25">
      <c r="A10" t="s">
        <v>102</v>
      </c>
      <c r="B10">
        <f>B3-B9</f>
        <v>34.465162078392048</v>
      </c>
      <c r="C10">
        <f>C3-C9</f>
        <v>60.905048122428525</v>
      </c>
    </row>
    <row r="11" spans="1:3" x14ac:dyDescent="0.25">
      <c r="A11" t="s">
        <v>103</v>
      </c>
      <c r="B11">
        <f>B3+B9</f>
        <v>102.33483792160797</v>
      </c>
      <c r="C11">
        <f>C3+C9</f>
        <v>75.894951877571486</v>
      </c>
    </row>
  </sheetData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7"/>
  <dimension ref="A1:N195"/>
  <sheetViews>
    <sheetView workbookViewId="0"/>
  </sheetViews>
  <sheetFormatPr defaultRowHeight="15" x14ac:dyDescent="0.25"/>
  <cols>
    <col min="4" max="4" width="9.140625" customWidth="1"/>
    <col min="6" max="6" width="13.42578125" customWidth="1"/>
    <col min="7" max="7" width="9.140625" customWidth="1"/>
    <col min="8" max="8" width="4" customWidth="1"/>
    <col min="9" max="9" width="22.7109375" customWidth="1"/>
  </cols>
  <sheetData>
    <row r="1" spans="1:14" x14ac:dyDescent="0.25">
      <c r="A1" s="1" t="s">
        <v>892</v>
      </c>
    </row>
    <row r="3" spans="1:14" x14ac:dyDescent="0.25">
      <c r="A3" s="1" t="s">
        <v>187</v>
      </c>
      <c r="F3" s="339" t="s">
        <v>870</v>
      </c>
      <c r="G3" s="328"/>
      <c r="K3" t="s">
        <v>869</v>
      </c>
    </row>
    <row r="4" spans="1:14" x14ac:dyDescent="0.25">
      <c r="J4" s="53"/>
    </row>
    <row r="5" spans="1:14" x14ac:dyDescent="0.25">
      <c r="A5" s="331">
        <v>45</v>
      </c>
      <c r="B5" s="332">
        <v>58</v>
      </c>
      <c r="C5" s="332">
        <v>72</v>
      </c>
      <c r="D5" s="333">
        <v>52</v>
      </c>
      <c r="F5" t="s">
        <v>871</v>
      </c>
      <c r="G5" s="315">
        <v>52</v>
      </c>
      <c r="I5" s="53"/>
      <c r="K5" s="143" t="s">
        <v>63</v>
      </c>
      <c r="L5" s="143" t="s">
        <v>390</v>
      </c>
      <c r="M5" s="143" t="s">
        <v>398</v>
      </c>
      <c r="N5" s="143" t="s">
        <v>397</v>
      </c>
    </row>
    <row r="6" spans="1:14" x14ac:dyDescent="0.25">
      <c r="A6" s="334">
        <v>56</v>
      </c>
      <c r="B6" s="63">
        <v>49</v>
      </c>
      <c r="C6" s="63">
        <v>48</v>
      </c>
      <c r="D6" s="335">
        <v>67</v>
      </c>
      <c r="F6" t="s">
        <v>396</v>
      </c>
      <c r="G6" s="163">
        <f>COUNT(A5:D10)</f>
        <v>24</v>
      </c>
      <c r="I6" s="22" t="e">
        <f ca="1">FTEXT(G6)</f>
        <v>#NAME?</v>
      </c>
      <c r="K6">
        <v>52</v>
      </c>
      <c r="L6">
        <f>ABS((K6-$G$5)/$G$8)</f>
        <v>0</v>
      </c>
      <c r="M6" t="e">
        <f ca="1">T_DIST(($G$21-K6)/$G$11,$G$12,TRUE)</f>
        <v>#NAME?</v>
      </c>
      <c r="N6" t="e">
        <f ca="1">1-M6</f>
        <v>#NAME?</v>
      </c>
    </row>
    <row r="7" spans="1:14" x14ac:dyDescent="0.25">
      <c r="A7" s="334">
        <v>71</v>
      </c>
      <c r="B7" s="63">
        <v>52</v>
      </c>
      <c r="C7" s="63">
        <v>62</v>
      </c>
      <c r="D7" s="335">
        <v>56</v>
      </c>
      <c r="F7" s="328" t="s">
        <v>403</v>
      </c>
      <c r="G7" s="329">
        <f>AVERAGE(A5:D10)</f>
        <v>53.166666666666664</v>
      </c>
      <c r="I7" s="22" t="e">
        <f ca="1">FTEXT(G7)</f>
        <v>#NAME?</v>
      </c>
      <c r="K7">
        <f>K6+0.5</f>
        <v>52.5</v>
      </c>
      <c r="L7">
        <f t="shared" ref="L7:L26" si="0">ABS((K7-$G$5)/$G$8)</f>
        <v>4.8471600449361961E-2</v>
      </c>
      <c r="M7" t="e">
        <f ca="1">T_DIST(($G$21-K7)/$G$11,$G$12,TRUE)</f>
        <v>#NAME?</v>
      </c>
      <c r="N7" t="e">
        <f t="shared" ref="N7:N26" ca="1" si="1">1-M7</f>
        <v>#NAME?</v>
      </c>
    </row>
    <row r="8" spans="1:14" x14ac:dyDescent="0.25">
      <c r="A8" s="334">
        <v>38</v>
      </c>
      <c r="B8" s="63">
        <v>39</v>
      </c>
      <c r="C8" s="63">
        <v>54</v>
      </c>
      <c r="D8" s="335">
        <v>52</v>
      </c>
      <c r="F8" t="s">
        <v>199</v>
      </c>
      <c r="G8" s="163">
        <f>STDEV(A5:D10)</f>
        <v>10.315318565194634</v>
      </c>
      <c r="I8" s="22" t="s">
        <v>1118</v>
      </c>
      <c r="K8">
        <f t="shared" ref="K8:K26" si="2">K7+0.5</f>
        <v>53</v>
      </c>
      <c r="L8">
        <f t="shared" si="0"/>
        <v>9.6943200898723922E-2</v>
      </c>
      <c r="M8" t="e">
        <f ca="1">T_DIST(($G$21-K8)/$G$11,$G$12,TRUE)</f>
        <v>#NAME?</v>
      </c>
      <c r="N8" t="e">
        <f t="shared" ca="1" si="1"/>
        <v>#NAME?</v>
      </c>
    </row>
    <row r="9" spans="1:14" x14ac:dyDescent="0.25">
      <c r="A9" s="334">
        <v>61</v>
      </c>
      <c r="B9" s="63">
        <v>42</v>
      </c>
      <c r="C9" s="63">
        <v>45</v>
      </c>
      <c r="D9" s="335">
        <v>46</v>
      </c>
      <c r="F9" t="s">
        <v>564</v>
      </c>
      <c r="G9" s="163">
        <f>ABS(G5-G7)/G8</f>
        <v>0.11310040104851102</v>
      </c>
      <c r="I9" s="22" t="e">
        <f ca="1">FTEXT(G9)</f>
        <v>#NAME?</v>
      </c>
      <c r="K9">
        <f t="shared" si="2"/>
        <v>53.5</v>
      </c>
      <c r="L9">
        <f t="shared" si="0"/>
        <v>0.14541480134808588</v>
      </c>
      <c r="M9" t="e">
        <f ca="1">T_DIST(($G$21-K9)/$G$11,$G$12,TRUE)</f>
        <v>#NAME?</v>
      </c>
      <c r="N9" t="e">
        <f t="shared" ca="1" si="1"/>
        <v>#NAME?</v>
      </c>
    </row>
    <row r="10" spans="1:14" x14ac:dyDescent="0.25">
      <c r="A10" s="336">
        <v>51</v>
      </c>
      <c r="B10" s="337">
        <v>34</v>
      </c>
      <c r="C10" s="337">
        <v>58</v>
      </c>
      <c r="D10" s="338">
        <v>68</v>
      </c>
      <c r="F10" t="s">
        <v>394</v>
      </c>
      <c r="G10" s="163">
        <v>1</v>
      </c>
      <c r="K10">
        <f t="shared" si="2"/>
        <v>54</v>
      </c>
      <c r="L10">
        <f t="shared" si="0"/>
        <v>0.19388640179744784</v>
      </c>
      <c r="M10" t="e">
        <f ca="1">T_DIST(($G$21-K10)/$G$11,$G$12,TRUE)</f>
        <v>#NAME?</v>
      </c>
      <c r="N10" t="e">
        <f t="shared" ca="1" si="1"/>
        <v>#NAME?</v>
      </c>
    </row>
    <row r="11" spans="1:14" x14ac:dyDescent="0.25">
      <c r="A11" s="63"/>
      <c r="B11" s="63"/>
      <c r="C11" s="63"/>
      <c r="D11" s="63"/>
      <c r="E11" s="63"/>
      <c r="F11" t="s">
        <v>358</v>
      </c>
      <c r="G11" s="163">
        <f>G8/SQRT(G6)</f>
        <v>2.1056055849154292</v>
      </c>
      <c r="I11" s="22" t="e">
        <f ca="1">FTEXT(G11)</f>
        <v>#NAME?</v>
      </c>
      <c r="K11">
        <f t="shared" si="2"/>
        <v>54.5</v>
      </c>
      <c r="L11">
        <f t="shared" si="0"/>
        <v>0.24235800224680981</v>
      </c>
      <c r="M11" t="e">
        <f ca="1">T_DIST(($G$21-K11)/$G$11,$G$12,TRUE)</f>
        <v>#NAME?</v>
      </c>
      <c r="N11" t="e">
        <f t="shared" ca="1" si="1"/>
        <v>#NAME?</v>
      </c>
    </row>
    <row r="12" spans="1:14" x14ac:dyDescent="0.25">
      <c r="A12" s="63"/>
      <c r="B12" s="63"/>
      <c r="C12" s="63"/>
      <c r="D12" s="63"/>
      <c r="E12" s="63"/>
      <c r="F12" t="s">
        <v>168</v>
      </c>
      <c r="G12" s="163">
        <f>G6-1</f>
        <v>23</v>
      </c>
      <c r="I12" s="22" t="e">
        <f ca="1">FTEXT(G12)</f>
        <v>#NAME?</v>
      </c>
      <c r="K12">
        <f t="shared" si="2"/>
        <v>55</v>
      </c>
      <c r="L12">
        <f t="shared" si="0"/>
        <v>0.29082960269617175</v>
      </c>
      <c r="M12" t="e">
        <f ca="1">T_DIST(($G$21-K12)/$G$11,$G$12,TRUE)</f>
        <v>#NAME?</v>
      </c>
      <c r="N12" t="e">
        <f t="shared" ca="1" si="1"/>
        <v>#NAME?</v>
      </c>
    </row>
    <row r="13" spans="1:14" x14ac:dyDescent="0.25">
      <c r="A13" s="63"/>
      <c r="B13" s="63"/>
      <c r="C13" s="63"/>
      <c r="D13" s="63"/>
      <c r="E13" s="63"/>
      <c r="F13" t="s">
        <v>243</v>
      </c>
      <c r="G13" s="163">
        <f>ABS(G7-G5)/G11</f>
        <v>0.55407654454598299</v>
      </c>
      <c r="I13" s="22" t="e">
        <f ca="1">FTEXT(G13)</f>
        <v>#NAME?</v>
      </c>
      <c r="K13">
        <f t="shared" si="2"/>
        <v>55.5</v>
      </c>
      <c r="L13">
        <f t="shared" si="0"/>
        <v>0.33930120314553375</v>
      </c>
      <c r="M13" t="e">
        <f ca="1">T_DIST(($G$21-K13)/$G$11,$G$12,TRUE)</f>
        <v>#NAME?</v>
      </c>
      <c r="N13" t="e">
        <f t="shared" ca="1" si="1"/>
        <v>#NAME?</v>
      </c>
    </row>
    <row r="14" spans="1:14" x14ac:dyDescent="0.25">
      <c r="A14" s="63"/>
      <c r="B14" s="63"/>
      <c r="C14" s="63"/>
      <c r="D14" s="63"/>
      <c r="E14" s="63"/>
      <c r="F14" t="s">
        <v>182</v>
      </c>
      <c r="G14" s="163">
        <f>TDIST(G13,G12,G10)</f>
        <v>0.29243697740740399</v>
      </c>
      <c r="I14" s="22" t="s">
        <v>1113</v>
      </c>
      <c r="K14">
        <f t="shared" si="2"/>
        <v>56</v>
      </c>
      <c r="L14">
        <f t="shared" si="0"/>
        <v>0.38777280359489569</v>
      </c>
      <c r="M14" t="e">
        <f ca="1">T_DIST(($G$21-K14)/$G$11,$G$12,TRUE)</f>
        <v>#NAME?</v>
      </c>
      <c r="N14" t="e">
        <f t="shared" ca="1" si="1"/>
        <v>#NAME?</v>
      </c>
    </row>
    <row r="15" spans="1:14" x14ac:dyDescent="0.25">
      <c r="C15" s="63"/>
      <c r="D15" s="63"/>
      <c r="F15" t="s">
        <v>262</v>
      </c>
      <c r="G15" s="163">
        <v>0.05</v>
      </c>
      <c r="K15">
        <f t="shared" si="2"/>
        <v>56.5</v>
      </c>
      <c r="L15">
        <f t="shared" si="0"/>
        <v>0.43624440404425768</v>
      </c>
      <c r="M15" t="e">
        <f ca="1">T_DIST(($G$21-K15)/$G$11,$G$12,TRUE)</f>
        <v>#NAME?</v>
      </c>
      <c r="N15" t="e">
        <f t="shared" ca="1" si="1"/>
        <v>#NAME?</v>
      </c>
    </row>
    <row r="16" spans="1:14" x14ac:dyDescent="0.25">
      <c r="F16" t="s">
        <v>381</v>
      </c>
      <c r="G16" s="152" t="str">
        <f>IF(G14&lt;G15,"yes","no")</f>
        <v>no</v>
      </c>
      <c r="I16" s="22" t="e">
        <f ca="1">FTEXT(G16)</f>
        <v>#NAME?</v>
      </c>
      <c r="K16">
        <f t="shared" si="2"/>
        <v>57</v>
      </c>
      <c r="L16">
        <f t="shared" si="0"/>
        <v>0.48471600449361962</v>
      </c>
      <c r="M16" t="e">
        <f ca="1">T_DIST(($G$21-K16)/$G$11,$G$12,TRUE)</f>
        <v>#NAME?</v>
      </c>
      <c r="N16" t="e">
        <f t="shared" ca="1" si="1"/>
        <v>#NAME?</v>
      </c>
    </row>
    <row r="17" spans="6:14" x14ac:dyDescent="0.25">
      <c r="K17">
        <f t="shared" si="2"/>
        <v>57.5</v>
      </c>
      <c r="L17">
        <f t="shared" si="0"/>
        <v>0.53318760494298156</v>
      </c>
      <c r="M17" t="e">
        <f ca="1">T_DIST(($G$21-K17)/$G$11,$G$12,TRUE)</f>
        <v>#NAME?</v>
      </c>
      <c r="N17" t="e">
        <f t="shared" ca="1" si="1"/>
        <v>#NAME?</v>
      </c>
    </row>
    <row r="18" spans="6:14" x14ac:dyDescent="0.25">
      <c r="F18" s="1" t="s">
        <v>397</v>
      </c>
      <c r="K18">
        <f t="shared" si="2"/>
        <v>58</v>
      </c>
      <c r="L18">
        <f t="shared" si="0"/>
        <v>0.5816592053923435</v>
      </c>
      <c r="M18" t="e">
        <f ca="1">T_DIST(($G$21-K18)/$G$11,$G$12,TRUE)</f>
        <v>#NAME?</v>
      </c>
      <c r="N18" t="e">
        <f t="shared" ca="1" si="1"/>
        <v>#NAME?</v>
      </c>
    </row>
    <row r="19" spans="6:14" x14ac:dyDescent="0.25">
      <c r="K19">
        <f t="shared" si="2"/>
        <v>58.5</v>
      </c>
      <c r="L19">
        <f t="shared" si="0"/>
        <v>0.63013080584170555</v>
      </c>
      <c r="M19" t="e">
        <f ca="1">T_DIST(($G$21-K19)/$G$11,$G$12,TRUE)</f>
        <v>#NAME?</v>
      </c>
      <c r="N19" t="e">
        <f t="shared" ca="1" si="1"/>
        <v>#NAME?</v>
      </c>
    </row>
    <row r="20" spans="6:14" x14ac:dyDescent="0.25">
      <c r="F20" t="s">
        <v>183</v>
      </c>
      <c r="G20" s="315">
        <f>TINV(G15*2,G12)</f>
        <v>1.7138715277470482</v>
      </c>
      <c r="I20" s="22" t="s">
        <v>1115</v>
      </c>
      <c r="K20">
        <f t="shared" si="2"/>
        <v>59</v>
      </c>
      <c r="L20">
        <f t="shared" si="0"/>
        <v>0.67860240629106749</v>
      </c>
      <c r="M20" t="e">
        <f ca="1">T_DIST(($G$21-K20)/$G$11,$G$12,TRUE)</f>
        <v>#NAME?</v>
      </c>
      <c r="N20" t="e">
        <f t="shared" ca="1" si="1"/>
        <v>#NAME?</v>
      </c>
    </row>
    <row r="21" spans="6:14" x14ac:dyDescent="0.25">
      <c r="F21" t="s">
        <v>276</v>
      </c>
      <c r="G21" s="163">
        <f>G5+G20*G11</f>
        <v>55.608737460651724</v>
      </c>
      <c r="I21" s="22" t="e">
        <f ca="1">FTEXT(G21)</f>
        <v>#NAME?</v>
      </c>
      <c r="K21">
        <f t="shared" si="2"/>
        <v>59.5</v>
      </c>
      <c r="L21">
        <f t="shared" si="0"/>
        <v>0.72707400674042943</v>
      </c>
      <c r="M21" t="e">
        <f ca="1">T_DIST(($G$21-K21)/$G$11,$G$12,TRUE)</f>
        <v>#NAME?</v>
      </c>
      <c r="N21" t="e">
        <f t="shared" ca="1" si="1"/>
        <v>#NAME?</v>
      </c>
    </row>
    <row r="22" spans="6:14" x14ac:dyDescent="0.25">
      <c r="F22" s="328" t="s">
        <v>872</v>
      </c>
      <c r="G22" s="329">
        <f>G7</f>
        <v>53.166666666666664</v>
      </c>
      <c r="I22" s="22" t="e">
        <f ca="1">FTEXT(G22)</f>
        <v>#NAME?</v>
      </c>
      <c r="K22">
        <f t="shared" si="2"/>
        <v>60</v>
      </c>
      <c r="L22">
        <f t="shared" si="0"/>
        <v>0.77554560718979138</v>
      </c>
      <c r="M22" t="e">
        <f ca="1">T_DIST(($G$21-K22)/$G$11,$G$12,TRUE)</f>
        <v>#NAME?</v>
      </c>
      <c r="N22" t="e">
        <f t="shared" ca="1" si="1"/>
        <v>#NAME?</v>
      </c>
    </row>
    <row r="23" spans="6:14" x14ac:dyDescent="0.25">
      <c r="F23" s="27" t="s">
        <v>177</v>
      </c>
      <c r="G23" s="329">
        <f>(G21-G22)/G11</f>
        <v>1.1597949832010657</v>
      </c>
      <c r="I23" s="22" t="e">
        <f ca="1">FTEXT(G23)</f>
        <v>#NAME?</v>
      </c>
      <c r="K23">
        <f t="shared" si="2"/>
        <v>60.5</v>
      </c>
      <c r="L23">
        <f t="shared" si="0"/>
        <v>0.82401720763915332</v>
      </c>
      <c r="M23" t="e">
        <f ca="1">T_DIST(($G$21-K23)/$G$11,$G$12,TRUE)</f>
        <v>#NAME?</v>
      </c>
      <c r="N23" t="e">
        <f t="shared" ca="1" si="1"/>
        <v>#NAME?</v>
      </c>
    </row>
    <row r="24" spans="6:14" x14ac:dyDescent="0.25">
      <c r="F24" s="27" t="s">
        <v>398</v>
      </c>
      <c r="G24" s="329" t="e">
        <f ca="1">T_DIST(G23,G12,TRUE)</f>
        <v>#NAME?</v>
      </c>
      <c r="I24" s="22" t="s">
        <v>1114</v>
      </c>
      <c r="K24">
        <f t="shared" si="2"/>
        <v>61</v>
      </c>
      <c r="L24">
        <f t="shared" si="0"/>
        <v>0.87248880808851537</v>
      </c>
      <c r="M24" t="e">
        <f ca="1">T_DIST(($G$21-K24)/$G$11,$G$12,TRUE)</f>
        <v>#NAME?</v>
      </c>
      <c r="N24" t="e">
        <f t="shared" ca="1" si="1"/>
        <v>#NAME?</v>
      </c>
    </row>
    <row r="25" spans="6:14" x14ac:dyDescent="0.25">
      <c r="F25" s="27" t="s">
        <v>397</v>
      </c>
      <c r="G25" s="330" t="e">
        <f ca="1">1-G24</f>
        <v>#NAME?</v>
      </c>
      <c r="I25" s="22" t="e">
        <f ca="1">FTEXT(G25)</f>
        <v>#NAME?</v>
      </c>
      <c r="K25">
        <f t="shared" si="2"/>
        <v>61.5</v>
      </c>
      <c r="L25">
        <f t="shared" si="0"/>
        <v>0.92096040853787731</v>
      </c>
      <c r="M25" t="e">
        <f ca="1">T_DIST(($G$21-K25)/$G$11,$G$12,TRUE)</f>
        <v>#NAME?</v>
      </c>
      <c r="N25" t="e">
        <f t="shared" ca="1" si="1"/>
        <v>#NAME?</v>
      </c>
    </row>
    <row r="26" spans="6:14" x14ac:dyDescent="0.25">
      <c r="K26" s="276">
        <f t="shared" si="2"/>
        <v>62</v>
      </c>
      <c r="L26" s="276">
        <f t="shared" si="0"/>
        <v>0.96943200898723925</v>
      </c>
      <c r="M26" s="276" t="e">
        <f ca="1">T_DIST(($G$21-K26)/$G$11,$G$12,TRUE)</f>
        <v>#NAME?</v>
      </c>
      <c r="N26" s="276" t="e">
        <f t="shared" ca="1" si="1"/>
        <v>#NAME?</v>
      </c>
    </row>
    <row r="27" spans="6:14" x14ac:dyDescent="0.25">
      <c r="G27" s="328"/>
    </row>
    <row r="28" spans="6:14" x14ac:dyDescent="0.25">
      <c r="G28" s="328"/>
    </row>
    <row r="29" spans="6:14" x14ac:dyDescent="0.25">
      <c r="G29" s="328"/>
    </row>
    <row r="30" spans="6:14" x14ac:dyDescent="0.25">
      <c r="G30" s="328"/>
    </row>
    <row r="31" spans="6:14" x14ac:dyDescent="0.25">
      <c r="G31" s="328"/>
    </row>
    <row r="32" spans="6:14" x14ac:dyDescent="0.25">
      <c r="G32" s="328"/>
    </row>
    <row r="34" spans="1:4" x14ac:dyDescent="0.25">
      <c r="A34" s="19" t="s">
        <v>177</v>
      </c>
      <c r="B34" s="19" t="s">
        <v>28</v>
      </c>
      <c r="C34" s="19" t="s">
        <v>881</v>
      </c>
      <c r="D34" s="19" t="s">
        <v>882</v>
      </c>
    </row>
    <row r="35" spans="1:4" x14ac:dyDescent="0.25">
      <c r="A35">
        <v>-4</v>
      </c>
      <c r="B35">
        <f>$G$5+A35*$G$11</f>
        <v>43.577577660338285</v>
      </c>
      <c r="C35">
        <f t="shared" ref="C35:C66" si="3">_xlfn.T.DIST(A35,$G$12,FALSE)</f>
        <v>6.9847313290886926E-4</v>
      </c>
    </row>
    <row r="36" spans="1:4" x14ac:dyDescent="0.25">
      <c r="A36">
        <f>A35+0.05</f>
        <v>-3.95</v>
      </c>
      <c r="B36">
        <f t="shared" ref="B36:B99" si="4">$G$5+A36*$G$11</f>
        <v>43.682857939584053</v>
      </c>
      <c r="C36">
        <f t="shared" si="3"/>
        <v>7.8984124769042709E-4</v>
      </c>
    </row>
    <row r="37" spans="1:4" x14ac:dyDescent="0.25">
      <c r="A37">
        <f t="shared" ref="A37:A100" si="5">A36+0.05</f>
        <v>-3.9000000000000004</v>
      </c>
      <c r="B37">
        <f t="shared" si="4"/>
        <v>43.788138218829829</v>
      </c>
      <c r="C37">
        <f t="shared" si="3"/>
        <v>8.9289530112840465E-4</v>
      </c>
    </row>
    <row r="38" spans="1:4" x14ac:dyDescent="0.25">
      <c r="A38">
        <f t="shared" si="5"/>
        <v>-3.8500000000000005</v>
      </c>
      <c r="B38">
        <f t="shared" si="4"/>
        <v>43.893418498075597</v>
      </c>
      <c r="C38">
        <f t="shared" si="3"/>
        <v>1.009072129465419E-3</v>
      </c>
    </row>
    <row r="39" spans="1:4" x14ac:dyDescent="0.25">
      <c r="A39">
        <f t="shared" si="5"/>
        <v>-3.8000000000000007</v>
      </c>
      <c r="B39">
        <f t="shared" si="4"/>
        <v>43.998698777321366</v>
      </c>
      <c r="C39">
        <f t="shared" si="3"/>
        <v>1.1399739020851629E-3</v>
      </c>
    </row>
    <row r="40" spans="1:4" x14ac:dyDescent="0.25">
      <c r="A40">
        <f t="shared" si="5"/>
        <v>-3.7500000000000009</v>
      </c>
      <c r="B40">
        <f t="shared" si="4"/>
        <v>44.103979056567141</v>
      </c>
      <c r="C40">
        <f t="shared" si="3"/>
        <v>1.2873850492757806E-3</v>
      </c>
    </row>
    <row r="41" spans="1:4" x14ac:dyDescent="0.25">
      <c r="A41">
        <f t="shared" si="5"/>
        <v>-3.7000000000000011</v>
      </c>
      <c r="B41">
        <f t="shared" si="4"/>
        <v>44.209259335812909</v>
      </c>
      <c r="C41">
        <f t="shared" si="3"/>
        <v>1.4532905470307582E-3</v>
      </c>
    </row>
    <row r="42" spans="1:4" x14ac:dyDescent="0.25">
      <c r="A42">
        <f t="shared" si="5"/>
        <v>-3.6500000000000012</v>
      </c>
      <c r="B42">
        <f t="shared" si="4"/>
        <v>44.314539615058678</v>
      </c>
      <c r="C42">
        <f t="shared" si="3"/>
        <v>1.6398955995339201E-3</v>
      </c>
    </row>
    <row r="43" spans="1:4" x14ac:dyDescent="0.25">
      <c r="A43">
        <f t="shared" si="5"/>
        <v>-3.6000000000000014</v>
      </c>
      <c r="B43">
        <f t="shared" si="4"/>
        <v>44.419819894304453</v>
      </c>
      <c r="C43">
        <f t="shared" si="3"/>
        <v>1.8496467470340457E-3</v>
      </c>
    </row>
    <row r="44" spans="1:4" x14ac:dyDescent="0.25">
      <c r="A44">
        <f t="shared" si="5"/>
        <v>-3.5500000000000016</v>
      </c>
      <c r="B44">
        <f t="shared" si="4"/>
        <v>44.525100173550221</v>
      </c>
      <c r="C44">
        <f t="shared" si="3"/>
        <v>2.0852544104593158E-3</v>
      </c>
    </row>
    <row r="45" spans="1:4" x14ac:dyDescent="0.25">
      <c r="A45">
        <f t="shared" si="5"/>
        <v>-3.5000000000000018</v>
      </c>
      <c r="B45">
        <f t="shared" si="4"/>
        <v>44.630380452795997</v>
      </c>
      <c r="C45">
        <f t="shared" si="3"/>
        <v>2.3497168638986388E-3</v>
      </c>
    </row>
    <row r="46" spans="1:4" x14ac:dyDescent="0.25">
      <c r="A46">
        <f t="shared" si="5"/>
        <v>-3.450000000000002</v>
      </c>
      <c r="B46">
        <f t="shared" si="4"/>
        <v>44.735660732041765</v>
      </c>
      <c r="C46">
        <f t="shared" si="3"/>
        <v>2.6463456015155106E-3</v>
      </c>
      <c r="D46">
        <f>C35</f>
        <v>6.9847313290886926E-4</v>
      </c>
    </row>
    <row r="47" spans="1:4" x14ac:dyDescent="0.25">
      <c r="A47">
        <f t="shared" si="5"/>
        <v>-3.4000000000000021</v>
      </c>
      <c r="B47">
        <f t="shared" si="4"/>
        <v>44.840941011287534</v>
      </c>
      <c r="C47">
        <f t="shared" si="3"/>
        <v>2.9787920360836552E-3</v>
      </c>
      <c r="D47">
        <f t="shared" ref="D47:D110" si="6">C36</f>
        <v>7.8984124769042709E-4</v>
      </c>
    </row>
    <row r="48" spans="1:4" x14ac:dyDescent="0.25">
      <c r="A48">
        <f t="shared" si="5"/>
        <v>-3.3500000000000023</v>
      </c>
      <c r="B48">
        <f t="shared" si="4"/>
        <v>44.946221290533309</v>
      </c>
      <c r="C48">
        <f t="shared" si="3"/>
        <v>3.3510754316705203E-3</v>
      </c>
      <c r="D48">
        <f t="shared" si="6"/>
        <v>8.9289530112840465E-4</v>
      </c>
    </row>
    <row r="49" spans="1:4" x14ac:dyDescent="0.25">
      <c r="A49">
        <f t="shared" si="5"/>
        <v>-3.3000000000000025</v>
      </c>
      <c r="B49">
        <f t="shared" si="4"/>
        <v>45.051501569779077</v>
      </c>
      <c r="C49">
        <f t="shared" si="3"/>
        <v>3.7676119325930216E-3</v>
      </c>
      <c r="D49">
        <f t="shared" si="6"/>
        <v>1.009072129465419E-3</v>
      </c>
    </row>
    <row r="50" spans="1:4" x14ac:dyDescent="0.25">
      <c r="A50">
        <f t="shared" si="5"/>
        <v>-3.2500000000000027</v>
      </c>
      <c r="B50">
        <f t="shared" si="4"/>
        <v>45.156781849024853</v>
      </c>
      <c r="C50">
        <f t="shared" si="3"/>
        <v>4.2332445042163065E-3</v>
      </c>
      <c r="D50">
        <f t="shared" si="6"/>
        <v>1.1399739020851629E-3</v>
      </c>
    </row>
    <row r="51" spans="1:4" x14ac:dyDescent="0.25">
      <c r="A51">
        <f t="shared" si="5"/>
        <v>-3.2000000000000028</v>
      </c>
      <c r="B51">
        <f t="shared" si="4"/>
        <v>45.262062128270621</v>
      </c>
      <c r="C51">
        <f t="shared" si="3"/>
        <v>4.7532735481092868E-3</v>
      </c>
      <c r="D51">
        <f t="shared" si="6"/>
        <v>1.2873850492757806E-3</v>
      </c>
    </row>
    <row r="52" spans="1:4" x14ac:dyDescent="0.25">
      <c r="A52">
        <f t="shared" si="5"/>
        <v>-3.150000000000003</v>
      </c>
      <c r="B52">
        <f t="shared" si="4"/>
        <v>45.367342407516389</v>
      </c>
      <c r="C52">
        <f t="shared" si="3"/>
        <v>5.3334878942436457E-3</v>
      </c>
      <c r="D52">
        <f t="shared" si="6"/>
        <v>1.4532905470307582E-3</v>
      </c>
    </row>
    <row r="53" spans="1:4" x14ac:dyDescent="0.25">
      <c r="A53">
        <f t="shared" si="5"/>
        <v>-3.1000000000000032</v>
      </c>
      <c r="B53">
        <f t="shared" si="4"/>
        <v>45.472622686762165</v>
      </c>
      <c r="C53">
        <f t="shared" si="3"/>
        <v>5.9801958061783105E-3</v>
      </c>
      <c r="D53">
        <f t="shared" si="6"/>
        <v>1.6398955995339201E-3</v>
      </c>
    </row>
    <row r="54" spans="1:4" x14ac:dyDescent="0.25">
      <c r="A54">
        <f t="shared" si="5"/>
        <v>-3.0500000000000034</v>
      </c>
      <c r="B54">
        <f t="shared" si="4"/>
        <v>45.577902966007933</v>
      </c>
      <c r="C54">
        <f t="shared" si="3"/>
        <v>6.7002555615100464E-3</v>
      </c>
      <c r="D54">
        <f t="shared" si="6"/>
        <v>1.8496467470340457E-3</v>
      </c>
    </row>
    <row r="55" spans="1:4" x14ac:dyDescent="0.25">
      <c r="A55">
        <f t="shared" si="5"/>
        <v>-3.0000000000000036</v>
      </c>
      <c r="B55">
        <f t="shared" si="4"/>
        <v>45.683183245253701</v>
      </c>
      <c r="C55">
        <f t="shared" si="3"/>
        <v>7.5011050894841901E-3</v>
      </c>
      <c r="D55">
        <f t="shared" si="6"/>
        <v>2.0852544104593158E-3</v>
      </c>
    </row>
    <row r="56" spans="1:4" x14ac:dyDescent="0.25">
      <c r="A56">
        <f t="shared" si="5"/>
        <v>-2.9500000000000037</v>
      </c>
      <c r="B56">
        <f t="shared" si="4"/>
        <v>45.788463524499477</v>
      </c>
      <c r="C56">
        <f t="shared" si="3"/>
        <v>8.3907900609672421E-3</v>
      </c>
      <c r="D56">
        <f t="shared" si="6"/>
        <v>2.3497168638986388E-3</v>
      </c>
    </row>
    <row r="57" spans="1:4" x14ac:dyDescent="0.25">
      <c r="A57">
        <f t="shared" si="5"/>
        <v>-2.9000000000000039</v>
      </c>
      <c r="B57">
        <f t="shared" si="4"/>
        <v>45.893743803745245</v>
      </c>
      <c r="C57">
        <f t="shared" si="3"/>
        <v>9.3779897336767962E-3</v>
      </c>
      <c r="D57">
        <f t="shared" si="6"/>
        <v>2.6463456015155106E-3</v>
      </c>
    </row>
    <row r="58" spans="1:4" x14ac:dyDescent="0.25">
      <c r="A58">
        <f t="shared" si="5"/>
        <v>-2.8500000000000041</v>
      </c>
      <c r="B58">
        <f t="shared" si="4"/>
        <v>45.999024082991021</v>
      </c>
      <c r="C58">
        <f t="shared" si="3"/>
        <v>1.047203975865761E-2</v>
      </c>
      <c r="D58">
        <f t="shared" si="6"/>
        <v>2.9787920360836552E-3</v>
      </c>
    </row>
    <row r="59" spans="1:4" x14ac:dyDescent="0.25">
      <c r="A59">
        <f t="shared" si="5"/>
        <v>-2.8000000000000043</v>
      </c>
      <c r="B59">
        <f t="shared" si="4"/>
        <v>46.104304362236789</v>
      </c>
      <c r="C59">
        <f t="shared" si="3"/>
        <v>1.1682951053855523E-2</v>
      </c>
      <c r="D59">
        <f t="shared" si="6"/>
        <v>3.3510754316705203E-3</v>
      </c>
    </row>
    <row r="60" spans="1:4" x14ac:dyDescent="0.25">
      <c r="A60">
        <f t="shared" si="5"/>
        <v>-2.7500000000000044</v>
      </c>
      <c r="B60">
        <f t="shared" si="4"/>
        <v>46.209584641482564</v>
      </c>
      <c r="C60">
        <f t="shared" si="3"/>
        <v>1.3021423749058569E-2</v>
      </c>
      <c r="D60">
        <f t="shared" si="6"/>
        <v>3.7676119325930216E-3</v>
      </c>
    </row>
    <row r="61" spans="1:4" x14ac:dyDescent="0.25">
      <c r="A61">
        <f t="shared" si="5"/>
        <v>-2.7000000000000046</v>
      </c>
      <c r="B61">
        <f t="shared" si="4"/>
        <v>46.314864920728333</v>
      </c>
      <c r="C61">
        <f t="shared" si="3"/>
        <v>1.4498855105670489E-2</v>
      </c>
      <c r="D61">
        <f t="shared" si="6"/>
        <v>4.2332445042163065E-3</v>
      </c>
    </row>
    <row r="62" spans="1:4" x14ac:dyDescent="0.25">
      <c r="A62">
        <f t="shared" si="5"/>
        <v>-2.6500000000000048</v>
      </c>
      <c r="B62">
        <f t="shared" si="4"/>
        <v>46.420145199974101</v>
      </c>
      <c r="C62">
        <f t="shared" si="3"/>
        <v>1.6127340217466212E-2</v>
      </c>
      <c r="D62">
        <f t="shared" si="6"/>
        <v>4.7532735481092868E-3</v>
      </c>
    </row>
    <row r="63" spans="1:4" x14ac:dyDescent="0.25">
      <c r="A63">
        <f t="shared" si="5"/>
        <v>-2.600000000000005</v>
      </c>
      <c r="B63">
        <f t="shared" si="4"/>
        <v>46.525425479219876</v>
      </c>
      <c r="C63">
        <f t="shared" si="3"/>
        <v>1.7919664207860907E-2</v>
      </c>
      <c r="D63">
        <f t="shared" si="6"/>
        <v>5.3334878942436457E-3</v>
      </c>
    </row>
    <row r="64" spans="1:4" x14ac:dyDescent="0.25">
      <c r="A64">
        <f t="shared" si="5"/>
        <v>-2.5500000000000052</v>
      </c>
      <c r="B64">
        <f t="shared" si="4"/>
        <v>46.630705758465645</v>
      </c>
      <c r="C64">
        <f t="shared" si="3"/>
        <v>1.9889284559029965E-2</v>
      </c>
      <c r="D64">
        <f t="shared" si="6"/>
        <v>5.9801958061783105E-3</v>
      </c>
    </row>
    <row r="65" spans="1:4" x14ac:dyDescent="0.25">
      <c r="A65">
        <f t="shared" si="5"/>
        <v>-2.5000000000000053</v>
      </c>
      <c r="B65">
        <f t="shared" si="4"/>
        <v>46.735986037711413</v>
      </c>
      <c r="C65">
        <f t="shared" si="3"/>
        <v>2.2050302142681284E-2</v>
      </c>
      <c r="D65">
        <f t="shared" si="6"/>
        <v>6.7002555615100464E-3</v>
      </c>
    </row>
    <row r="66" spans="1:4" x14ac:dyDescent="0.25">
      <c r="A66">
        <f t="shared" si="5"/>
        <v>-2.4500000000000055</v>
      </c>
      <c r="B66">
        <f t="shared" si="4"/>
        <v>46.841266316957189</v>
      </c>
      <c r="C66">
        <f t="shared" si="3"/>
        <v>2.4417419476118345E-2</v>
      </c>
      <c r="D66">
        <f t="shared" si="6"/>
        <v>7.5011050894841901E-3</v>
      </c>
    </row>
    <row r="67" spans="1:4" x14ac:dyDescent="0.25">
      <c r="A67">
        <f t="shared" si="5"/>
        <v>-2.4000000000000057</v>
      </c>
      <c r="B67">
        <f t="shared" si="4"/>
        <v>46.946546596202957</v>
      </c>
      <c r="C67">
        <f t="shared" ref="C67:C98" si="7">_xlfn.T.DIST(A67,$G$12,FALSE)</f>
        <v>2.700588470559059E-2</v>
      </c>
      <c r="D67">
        <f t="shared" si="6"/>
        <v>8.3907900609672421E-3</v>
      </c>
    </row>
    <row r="68" spans="1:4" x14ac:dyDescent="0.25">
      <c r="A68">
        <f t="shared" si="5"/>
        <v>-2.3500000000000059</v>
      </c>
      <c r="B68">
        <f t="shared" si="4"/>
        <v>47.051826875448725</v>
      </c>
      <c r="C68">
        <f t="shared" si="7"/>
        <v>2.9831419827300948E-2</v>
      </c>
      <c r="D68">
        <f t="shared" si="6"/>
        <v>9.3779897336767962E-3</v>
      </c>
    </row>
    <row r="69" spans="1:4" x14ac:dyDescent="0.25">
      <c r="A69">
        <f t="shared" si="5"/>
        <v>-2.300000000000006</v>
      </c>
      <c r="B69">
        <f t="shared" si="4"/>
        <v>47.157107154694501</v>
      </c>
      <c r="C69">
        <f t="shared" si="7"/>
        <v>3.2910131700565608E-2</v>
      </c>
      <c r="D69">
        <f t="shared" si="6"/>
        <v>1.047203975865761E-2</v>
      </c>
    </row>
    <row r="70" spans="1:4" x14ac:dyDescent="0.25">
      <c r="A70">
        <f t="shared" si="5"/>
        <v>-2.2500000000000062</v>
      </c>
      <c r="B70">
        <f t="shared" si="4"/>
        <v>47.262387433940269</v>
      </c>
      <c r="C70">
        <f t="shared" si="7"/>
        <v>3.6258404493318533E-2</v>
      </c>
      <c r="D70">
        <f t="shared" si="6"/>
        <v>1.1682951053855523E-2</v>
      </c>
    </row>
    <row r="71" spans="1:4" x14ac:dyDescent="0.25">
      <c r="A71">
        <f t="shared" si="5"/>
        <v>-2.2000000000000064</v>
      </c>
      <c r="B71">
        <f t="shared" si="4"/>
        <v>47.367667713186044</v>
      </c>
      <c r="C71">
        <f t="shared" si="7"/>
        <v>3.9892772333153199E-2</v>
      </c>
      <c r="D71">
        <f t="shared" si="6"/>
        <v>1.3021423749058569E-2</v>
      </c>
    </row>
    <row r="72" spans="1:4" x14ac:dyDescent="0.25">
      <c r="A72">
        <f t="shared" si="5"/>
        <v>-2.1500000000000066</v>
      </c>
      <c r="B72">
        <f t="shared" si="4"/>
        <v>47.472947992431813</v>
      </c>
      <c r="C72">
        <f t="shared" si="7"/>
        <v>4.382977112280334E-2</v>
      </c>
      <c r="D72">
        <f t="shared" si="6"/>
        <v>1.4498855105670489E-2</v>
      </c>
    </row>
    <row r="73" spans="1:4" x14ac:dyDescent="0.25">
      <c r="A73">
        <f t="shared" si="5"/>
        <v>-2.1000000000000068</v>
      </c>
      <c r="B73">
        <f t="shared" si="4"/>
        <v>47.578228271677588</v>
      </c>
      <c r="C73">
        <f t="shared" si="7"/>
        <v>4.8085768722214935E-2</v>
      </c>
      <c r="D73">
        <f t="shared" si="6"/>
        <v>1.6127340217466212E-2</v>
      </c>
    </row>
    <row r="74" spans="1:4" x14ac:dyDescent="0.25">
      <c r="A74">
        <f t="shared" si="5"/>
        <v>-2.0500000000000069</v>
      </c>
      <c r="B74">
        <f t="shared" si="4"/>
        <v>47.683508550923356</v>
      </c>
      <c r="C74">
        <f t="shared" si="7"/>
        <v>5.2676773004108904E-2</v>
      </c>
      <c r="D74">
        <f t="shared" si="6"/>
        <v>1.7919664207860907E-2</v>
      </c>
    </row>
    <row r="75" spans="1:4" x14ac:dyDescent="0.25">
      <c r="A75">
        <f t="shared" si="5"/>
        <v>-2.0000000000000071</v>
      </c>
      <c r="B75">
        <f t="shared" si="4"/>
        <v>47.788788830169125</v>
      </c>
      <c r="C75">
        <f t="shared" si="7"/>
        <v>5.7618217658942907E-2</v>
      </c>
      <c r="D75">
        <f t="shared" si="6"/>
        <v>1.9889284559029965E-2</v>
      </c>
    </row>
    <row r="76" spans="1:4" x14ac:dyDescent="0.25">
      <c r="A76">
        <f t="shared" si="5"/>
        <v>-1.9500000000000071</v>
      </c>
      <c r="B76">
        <f t="shared" si="4"/>
        <v>47.8940691094149</v>
      </c>
      <c r="C76">
        <f t="shared" si="7"/>
        <v>6.2924726059680677E-2</v>
      </c>
      <c r="D76">
        <f t="shared" si="6"/>
        <v>2.2050302142681284E-2</v>
      </c>
    </row>
    <row r="77" spans="1:4" x14ac:dyDescent="0.25">
      <c r="A77">
        <f t="shared" si="5"/>
        <v>-1.900000000000007</v>
      </c>
      <c r="B77">
        <f t="shared" si="4"/>
        <v>47.999349388660669</v>
      </c>
      <c r="C77">
        <f t="shared" si="7"/>
        <v>6.8609853996107487E-2</v>
      </c>
      <c r="D77">
        <f t="shared" si="6"/>
        <v>2.4417419476118345E-2</v>
      </c>
    </row>
    <row r="78" spans="1:4" x14ac:dyDescent="0.25">
      <c r="A78">
        <f t="shared" si="5"/>
        <v>-1.850000000000007</v>
      </c>
      <c r="B78">
        <f t="shared" si="4"/>
        <v>48.104629667906444</v>
      </c>
      <c r="C78">
        <f t="shared" si="7"/>
        <v>7.4685812649714314E-2</v>
      </c>
      <c r="D78">
        <f t="shared" si="6"/>
        <v>2.700588470559059E-2</v>
      </c>
    </row>
    <row r="79" spans="1:4" x14ac:dyDescent="0.25">
      <c r="A79">
        <f t="shared" si="5"/>
        <v>-1.8000000000000069</v>
      </c>
      <c r="B79">
        <f t="shared" si="4"/>
        <v>48.209909947152212</v>
      </c>
      <c r="C79">
        <f t="shared" si="7"/>
        <v>8.1163173797966212E-2</v>
      </c>
      <c r="D79">
        <f t="shared" si="6"/>
        <v>2.9831419827300948E-2</v>
      </c>
    </row>
    <row r="80" spans="1:4" x14ac:dyDescent="0.25">
      <c r="A80">
        <f t="shared" si="5"/>
        <v>-1.7500000000000069</v>
      </c>
      <c r="B80">
        <f t="shared" si="4"/>
        <v>48.315190226397988</v>
      </c>
      <c r="C80">
        <f t="shared" si="7"/>
        <v>8.8050559902822512E-2</v>
      </c>
      <c r="D80">
        <f t="shared" si="6"/>
        <v>3.2910131700565608E-2</v>
      </c>
    </row>
    <row r="81" spans="1:4" x14ac:dyDescent="0.25">
      <c r="A81">
        <f t="shared" si="5"/>
        <v>-1.7000000000000068</v>
      </c>
      <c r="B81">
        <f t="shared" si="4"/>
        <v>48.420470505643756</v>
      </c>
      <c r="C81">
        <f t="shared" si="7"/>
        <v>9.5354322441383171E-2</v>
      </c>
      <c r="D81">
        <f t="shared" si="6"/>
        <v>3.6258404493318533E-2</v>
      </c>
    </row>
    <row r="82" spans="1:4" x14ac:dyDescent="0.25">
      <c r="A82">
        <f t="shared" si="5"/>
        <v>-1.6500000000000068</v>
      </c>
      <c r="B82">
        <f t="shared" si="4"/>
        <v>48.525750784889524</v>
      </c>
      <c r="C82">
        <f t="shared" si="7"/>
        <v>0.10307821256203414</v>
      </c>
      <c r="D82">
        <f t="shared" si="6"/>
        <v>3.9892772333153199E-2</v>
      </c>
    </row>
    <row r="83" spans="1:4" x14ac:dyDescent="0.25">
      <c r="A83">
        <f t="shared" si="5"/>
        <v>-1.6000000000000068</v>
      </c>
      <c r="B83">
        <f t="shared" si="4"/>
        <v>48.6310310641353</v>
      </c>
      <c r="C83">
        <f t="shared" si="7"/>
        <v>0.1112230488798211</v>
      </c>
      <c r="D83">
        <f t="shared" si="6"/>
        <v>4.382977112280334E-2</v>
      </c>
    </row>
    <row r="84" spans="1:4" x14ac:dyDescent="0.25">
      <c r="A84">
        <f t="shared" si="5"/>
        <v>-1.5500000000000067</v>
      </c>
      <c r="B84">
        <f t="shared" si="4"/>
        <v>48.736311343381068</v>
      </c>
      <c r="C84">
        <f t="shared" si="7"/>
        <v>0.11978638793929315</v>
      </c>
      <c r="D84">
        <f t="shared" si="6"/>
        <v>4.8085768722214935E-2</v>
      </c>
    </row>
    <row r="85" spans="1:4" x14ac:dyDescent="0.25">
      <c r="A85">
        <f t="shared" si="5"/>
        <v>-1.5000000000000067</v>
      </c>
      <c r="B85">
        <f t="shared" si="4"/>
        <v>48.841591622626844</v>
      </c>
      <c r="C85">
        <f t="shared" si="7"/>
        <v>0.12876220354825577</v>
      </c>
      <c r="D85">
        <f t="shared" si="6"/>
        <v>5.2676773004108904E-2</v>
      </c>
    </row>
    <row r="86" spans="1:4" x14ac:dyDescent="0.25">
      <c r="A86">
        <f t="shared" si="5"/>
        <v>-1.4500000000000066</v>
      </c>
      <c r="B86">
        <f t="shared" si="4"/>
        <v>48.946871901872612</v>
      </c>
      <c r="C86">
        <f t="shared" si="7"/>
        <v>0.13814058179593361</v>
      </c>
      <c r="D86">
        <f t="shared" si="6"/>
        <v>5.7618217658942907E-2</v>
      </c>
    </row>
    <row r="87" spans="1:4" x14ac:dyDescent="0.25">
      <c r="A87">
        <f t="shared" si="5"/>
        <v>-1.4000000000000066</v>
      </c>
      <c r="B87">
        <f t="shared" si="4"/>
        <v>49.052152181118387</v>
      </c>
      <c r="C87">
        <f t="shared" si="7"/>
        <v>0.14790743908643475</v>
      </c>
      <c r="D87">
        <f t="shared" si="6"/>
        <v>6.2924726059680677E-2</v>
      </c>
    </row>
    <row r="88" spans="1:4" x14ac:dyDescent="0.25">
      <c r="A88">
        <f t="shared" si="5"/>
        <v>-1.3500000000000065</v>
      </c>
      <c r="B88">
        <f t="shared" si="4"/>
        <v>49.157432460364156</v>
      </c>
      <c r="C88">
        <f t="shared" si="7"/>
        <v>0.15804427091466802</v>
      </c>
      <c r="D88">
        <f t="shared" si="6"/>
        <v>6.8609853996107487E-2</v>
      </c>
    </row>
    <row r="89" spans="1:4" x14ac:dyDescent="0.25">
      <c r="A89">
        <f t="shared" si="5"/>
        <v>-1.3000000000000065</v>
      </c>
      <c r="B89">
        <f t="shared" si="4"/>
        <v>49.262712739609931</v>
      </c>
      <c r="C89">
        <f t="shared" si="7"/>
        <v>0.16852793935858928</v>
      </c>
      <c r="D89">
        <f t="shared" si="6"/>
        <v>7.4685812649714314E-2</v>
      </c>
    </row>
    <row r="90" spans="1:4" x14ac:dyDescent="0.25">
      <c r="A90">
        <f t="shared" si="5"/>
        <v>-1.2500000000000064</v>
      </c>
      <c r="B90">
        <f t="shared" si="4"/>
        <v>49.367993018855699</v>
      </c>
      <c r="C90">
        <f t="shared" si="7"/>
        <v>0.17933050733160047</v>
      </c>
      <c r="D90">
        <f t="shared" si="6"/>
        <v>8.1163173797966212E-2</v>
      </c>
    </row>
    <row r="91" spans="1:4" x14ac:dyDescent="0.25">
      <c r="A91">
        <f t="shared" si="5"/>
        <v>-1.2000000000000064</v>
      </c>
      <c r="B91">
        <f t="shared" si="4"/>
        <v>49.473273298101475</v>
      </c>
      <c r="C91">
        <f t="shared" si="7"/>
        <v>0.19041912750727322</v>
      </c>
      <c r="D91">
        <f t="shared" si="6"/>
        <v>8.8050559902822512E-2</v>
      </c>
    </row>
    <row r="92" spans="1:4" x14ac:dyDescent="0.25">
      <c r="A92">
        <f t="shared" si="5"/>
        <v>-1.1500000000000064</v>
      </c>
      <c r="B92">
        <f t="shared" si="4"/>
        <v>49.578553577347243</v>
      </c>
      <c r="C92">
        <f t="shared" si="7"/>
        <v>0.20175599347423381</v>
      </c>
      <c r="D92">
        <f t="shared" si="6"/>
        <v>9.5354322441383171E-2</v>
      </c>
    </row>
    <row r="93" spans="1:4" x14ac:dyDescent="0.25">
      <c r="A93">
        <f t="shared" si="5"/>
        <v>-1.1000000000000063</v>
      </c>
      <c r="B93">
        <f t="shared" si="4"/>
        <v>49.683833856593012</v>
      </c>
      <c r="C93">
        <f t="shared" si="7"/>
        <v>0.21329836008602401</v>
      </c>
      <c r="D93">
        <f t="shared" si="6"/>
        <v>0.10307821256203414</v>
      </c>
    </row>
    <row r="94" spans="1:4" x14ac:dyDescent="0.25">
      <c r="A94">
        <f t="shared" si="5"/>
        <v>-1.0500000000000063</v>
      </c>
      <c r="B94">
        <f t="shared" si="4"/>
        <v>49.789114135838787</v>
      </c>
      <c r="C94">
        <f t="shared" si="7"/>
        <v>0.22499863912943704</v>
      </c>
      <c r="D94">
        <f t="shared" si="6"/>
        <v>0.1112230488798211</v>
      </c>
    </row>
    <row r="95" spans="1:4" x14ac:dyDescent="0.25">
      <c r="A95">
        <f t="shared" si="5"/>
        <v>-1.0000000000000062</v>
      </c>
      <c r="B95">
        <f t="shared" si="4"/>
        <v>49.894394415084555</v>
      </c>
      <c r="C95">
        <f t="shared" si="7"/>
        <v>0.23680457534321936</v>
      </c>
      <c r="D95">
        <f t="shared" si="6"/>
        <v>0.11978638793929315</v>
      </c>
    </row>
    <row r="96" spans="1:4" x14ac:dyDescent="0.25">
      <c r="A96">
        <f t="shared" si="5"/>
        <v>-0.95000000000000617</v>
      </c>
      <c r="B96">
        <f t="shared" si="4"/>
        <v>49.999674694330331</v>
      </c>
      <c r="C96">
        <f t="shared" si="7"/>
        <v>0.24865950648372862</v>
      </c>
      <c r="D96">
        <f t="shared" si="6"/>
        <v>0.12876220354825577</v>
      </c>
    </row>
    <row r="97" spans="1:4" x14ac:dyDescent="0.25">
      <c r="A97">
        <f t="shared" si="5"/>
        <v>-0.90000000000000613</v>
      </c>
      <c r="B97">
        <f t="shared" si="4"/>
        <v>50.104954973576099</v>
      </c>
      <c r="C97">
        <f t="shared" si="7"/>
        <v>0.2605027095711378</v>
      </c>
      <c r="D97">
        <f t="shared" si="6"/>
        <v>0.13814058179593361</v>
      </c>
    </row>
    <row r="98" spans="1:4" x14ac:dyDescent="0.25">
      <c r="A98">
        <f t="shared" si="5"/>
        <v>-0.85000000000000608</v>
      </c>
      <c r="B98">
        <f t="shared" si="4"/>
        <v>50.210235252821874</v>
      </c>
      <c r="C98">
        <f t="shared" si="7"/>
        <v>0.27226983368486285</v>
      </c>
      <c r="D98">
        <f t="shared" si="6"/>
        <v>0.14790743908643475</v>
      </c>
    </row>
    <row r="99" spans="1:4" x14ac:dyDescent="0.25">
      <c r="A99">
        <f t="shared" si="5"/>
        <v>-0.80000000000000604</v>
      </c>
      <c r="B99">
        <f t="shared" si="4"/>
        <v>50.315515532067643</v>
      </c>
      <c r="C99">
        <f t="shared" ref="C99:C130" si="8">_xlfn.T.DIST(A99,$G$12,FALSE)</f>
        <v>0.28389341774567617</v>
      </c>
      <c r="D99">
        <f t="shared" si="6"/>
        <v>0.15804427091466802</v>
      </c>
    </row>
    <row r="100" spans="1:4" x14ac:dyDescent="0.25">
      <c r="A100">
        <f t="shared" si="5"/>
        <v>-0.750000000000006</v>
      </c>
      <c r="B100">
        <f t="shared" ref="B100:B163" si="9">$G$5+A100*$G$11</f>
        <v>50.420795811313418</v>
      </c>
      <c r="C100">
        <f t="shared" si="8"/>
        <v>0.29530348966950626</v>
      </c>
      <c r="D100">
        <f t="shared" si="6"/>
        <v>0.16852793935858928</v>
      </c>
    </row>
    <row r="101" spans="1:4" x14ac:dyDescent="0.25">
      <c r="A101">
        <f t="shared" ref="A101:A133" si="10">A100+0.05</f>
        <v>-0.70000000000000595</v>
      </c>
      <c r="B101">
        <f t="shared" si="9"/>
        <v>50.526076090559187</v>
      </c>
      <c r="C101">
        <f t="shared" si="8"/>
        <v>0.30642824115777911</v>
      </c>
      <c r="D101">
        <f t="shared" si="6"/>
        <v>0.17933050733160047</v>
      </c>
    </row>
    <row r="102" spans="1:4" x14ac:dyDescent="0.25">
      <c r="A102">
        <f t="shared" si="10"/>
        <v>-0.65000000000000591</v>
      </c>
      <c r="B102">
        <f t="shared" si="9"/>
        <v>50.631356369804962</v>
      </c>
      <c r="C102">
        <f t="shared" si="8"/>
        <v>0.31719477026207782</v>
      </c>
      <c r="D102">
        <f t="shared" si="6"/>
        <v>0.19041912750727322</v>
      </c>
    </row>
    <row r="103" spans="1:4" x14ac:dyDescent="0.25">
      <c r="A103">
        <f t="shared" si="10"/>
        <v>-0.60000000000000586</v>
      </c>
      <c r="B103">
        <f t="shared" si="9"/>
        <v>50.73663664905073</v>
      </c>
      <c r="C103">
        <f t="shared" si="8"/>
        <v>0.32752988179298531</v>
      </c>
      <c r="D103">
        <f t="shared" si="6"/>
        <v>0.20175599347423381</v>
      </c>
    </row>
    <row r="104" spans="1:4" x14ac:dyDescent="0.25">
      <c r="A104">
        <f t="shared" si="10"/>
        <v>-0.55000000000000582</v>
      </c>
      <c r="B104">
        <f t="shared" si="9"/>
        <v>50.841916928296499</v>
      </c>
      <c r="C104">
        <f t="shared" si="8"/>
        <v>0.33736093370341957</v>
      </c>
      <c r="D104">
        <f t="shared" si="6"/>
        <v>0.21329836008602401</v>
      </c>
    </row>
    <row r="105" spans="1:4" x14ac:dyDescent="0.25">
      <c r="A105">
        <f t="shared" si="10"/>
        <v>-0.50000000000000577</v>
      </c>
      <c r="B105">
        <f t="shared" si="9"/>
        <v>50.947197207542274</v>
      </c>
      <c r="C105">
        <f t="shared" si="8"/>
        <v>0.3466167158353175</v>
      </c>
      <c r="D105">
        <f t="shared" si="6"/>
        <v>0.22499863912943704</v>
      </c>
    </row>
    <row r="106" spans="1:4" x14ac:dyDescent="0.25">
      <c r="A106">
        <f t="shared" si="10"/>
        <v>-0.45000000000000578</v>
      </c>
      <c r="B106">
        <f t="shared" si="9"/>
        <v>51.052477486788042</v>
      </c>
      <c r="C106">
        <f t="shared" si="8"/>
        <v>0.35522834594263486</v>
      </c>
      <c r="D106">
        <f t="shared" si="6"/>
        <v>0.23680457534321936</v>
      </c>
    </row>
    <row r="107" spans="1:4" x14ac:dyDescent="0.25">
      <c r="A107">
        <f t="shared" si="10"/>
        <v>-0.4000000000000058</v>
      </c>
      <c r="B107">
        <f t="shared" si="9"/>
        <v>51.157757766033818</v>
      </c>
      <c r="C107">
        <f t="shared" si="8"/>
        <v>0.36313016675558774</v>
      </c>
      <c r="D107">
        <f t="shared" si="6"/>
        <v>0.24865950648372862</v>
      </c>
    </row>
    <row r="108" spans="1:4" x14ac:dyDescent="0.25">
      <c r="A108">
        <f t="shared" si="10"/>
        <v>-0.35000000000000581</v>
      </c>
      <c r="B108">
        <f t="shared" si="9"/>
        <v>51.263038045279586</v>
      </c>
      <c r="C108">
        <f t="shared" si="8"/>
        <v>0.37026062708506108</v>
      </c>
      <c r="D108">
        <f t="shared" si="6"/>
        <v>0.2605027095711378</v>
      </c>
    </row>
    <row r="109" spans="1:4" x14ac:dyDescent="0.25">
      <c r="A109">
        <f t="shared" si="10"/>
        <v>-0.30000000000000582</v>
      </c>
      <c r="B109">
        <f t="shared" si="9"/>
        <v>51.368318324525362</v>
      </c>
      <c r="C109">
        <f t="shared" si="8"/>
        <v>0.37656312962559563</v>
      </c>
      <c r="D109">
        <f t="shared" si="6"/>
        <v>0.27226983368486285</v>
      </c>
    </row>
    <row r="110" spans="1:4" x14ac:dyDescent="0.25">
      <c r="A110">
        <f t="shared" si="10"/>
        <v>-0.25000000000000583</v>
      </c>
      <c r="B110">
        <f t="shared" si="9"/>
        <v>51.47359860377113</v>
      </c>
      <c r="C110">
        <f t="shared" si="8"/>
        <v>0.38198682823059565</v>
      </c>
      <c r="D110">
        <f t="shared" si="6"/>
        <v>0.28389341774567617</v>
      </c>
    </row>
    <row r="111" spans="1:4" x14ac:dyDescent="0.25">
      <c r="A111">
        <f t="shared" si="10"/>
        <v>-0.20000000000000584</v>
      </c>
      <c r="B111">
        <f t="shared" si="9"/>
        <v>51.578878883016905</v>
      </c>
      <c r="C111">
        <f t="shared" si="8"/>
        <v>0.38648735801961398</v>
      </c>
      <c r="D111">
        <f t="shared" ref="D111:D174" si="11">C100</f>
        <v>0.29530348966950626</v>
      </c>
    </row>
    <row r="112" spans="1:4" x14ac:dyDescent="0.25">
      <c r="A112">
        <f t="shared" si="10"/>
        <v>-0.15000000000000585</v>
      </c>
      <c r="B112">
        <f t="shared" si="9"/>
        <v>51.684159162262674</v>
      </c>
      <c r="C112">
        <f t="shared" si="8"/>
        <v>0.39002748273363458</v>
      </c>
      <c r="D112">
        <f t="shared" si="11"/>
        <v>0.30642824115777911</v>
      </c>
    </row>
    <row r="113" spans="1:4" x14ac:dyDescent="0.25">
      <c r="A113">
        <f t="shared" si="10"/>
        <v>-0.10000000000000585</v>
      </c>
      <c r="B113">
        <f t="shared" si="9"/>
        <v>51.789439441508442</v>
      </c>
      <c r="C113">
        <f t="shared" si="8"/>
        <v>0.39257764526209188</v>
      </c>
      <c r="D113">
        <f t="shared" si="11"/>
        <v>0.31719477026207782</v>
      </c>
    </row>
    <row r="114" spans="1:4" x14ac:dyDescent="0.25">
      <c r="A114">
        <f t="shared" si="10"/>
        <v>-5.0000000000005845E-2</v>
      </c>
      <c r="B114">
        <f t="shared" si="9"/>
        <v>51.894719720754217</v>
      </c>
      <c r="C114">
        <f t="shared" si="8"/>
        <v>0.39411640919001467</v>
      </c>
      <c r="D114">
        <f t="shared" si="11"/>
        <v>0.32752988179298531</v>
      </c>
    </row>
    <row r="115" spans="1:4" x14ac:dyDescent="0.25">
      <c r="A115">
        <f t="shared" si="10"/>
        <v>-5.8425486670898863E-15</v>
      </c>
      <c r="B115">
        <f t="shared" si="9"/>
        <v>51.999999999999986</v>
      </c>
      <c r="C115">
        <f t="shared" si="8"/>
        <v>0.39463078150433906</v>
      </c>
      <c r="D115">
        <f t="shared" si="11"/>
        <v>0.33736093370341957</v>
      </c>
    </row>
    <row r="116" spans="1:4" x14ac:dyDescent="0.25">
      <c r="A116">
        <f t="shared" si="10"/>
        <v>4.999999999999416E-2</v>
      </c>
      <c r="B116">
        <f t="shared" si="9"/>
        <v>52.105280279245761</v>
      </c>
      <c r="C116">
        <f t="shared" si="8"/>
        <v>0.39411640919001489</v>
      </c>
      <c r="D116">
        <f t="shared" si="11"/>
        <v>0.3466167158353175</v>
      </c>
    </row>
    <row r="117" spans="1:4" x14ac:dyDescent="0.25">
      <c r="A117">
        <f t="shared" si="10"/>
        <v>9.9999999999994163E-2</v>
      </c>
      <c r="B117">
        <f t="shared" si="9"/>
        <v>52.21056055849153</v>
      </c>
      <c r="C117">
        <f t="shared" si="8"/>
        <v>0.39257764526209232</v>
      </c>
      <c r="D117">
        <f t="shared" si="11"/>
        <v>0.35522834594263486</v>
      </c>
    </row>
    <row r="118" spans="1:4" x14ac:dyDescent="0.25">
      <c r="A118">
        <f t="shared" si="10"/>
        <v>0.14999999999999417</v>
      </c>
      <c r="B118">
        <f t="shared" si="9"/>
        <v>52.315840837737305</v>
      </c>
      <c r="C118">
        <f t="shared" si="8"/>
        <v>0.39002748273363524</v>
      </c>
      <c r="D118">
        <f t="shared" si="11"/>
        <v>0.36313016675558774</v>
      </c>
    </row>
    <row r="119" spans="1:4" x14ac:dyDescent="0.25">
      <c r="A119">
        <f t="shared" si="10"/>
        <v>0.19999999999999418</v>
      </c>
      <c r="B119">
        <f t="shared" si="9"/>
        <v>52.421121116983073</v>
      </c>
      <c r="C119">
        <f t="shared" si="8"/>
        <v>0.38648735801961487</v>
      </c>
      <c r="D119">
        <f t="shared" si="11"/>
        <v>0.37026062708506108</v>
      </c>
    </row>
    <row r="120" spans="1:4" x14ac:dyDescent="0.25">
      <c r="A120">
        <f t="shared" si="10"/>
        <v>0.24999999999999417</v>
      </c>
      <c r="B120">
        <f t="shared" si="9"/>
        <v>52.526401396228842</v>
      </c>
      <c r="C120">
        <f t="shared" si="8"/>
        <v>0.38198682823059676</v>
      </c>
      <c r="D120">
        <f t="shared" si="11"/>
        <v>0.37656312962559563</v>
      </c>
    </row>
    <row r="121" spans="1:4" x14ac:dyDescent="0.25">
      <c r="A121">
        <f t="shared" si="10"/>
        <v>0.29999999999999416</v>
      </c>
      <c r="B121">
        <f t="shared" si="9"/>
        <v>52.631681675474617</v>
      </c>
      <c r="C121">
        <f t="shared" si="8"/>
        <v>0.37656312962559696</v>
      </c>
      <c r="D121">
        <f t="shared" si="11"/>
        <v>0.38198682823059565</v>
      </c>
    </row>
    <row r="122" spans="1:4" x14ac:dyDescent="0.25">
      <c r="A122">
        <f t="shared" si="10"/>
        <v>0.34999999999999415</v>
      </c>
      <c r="B122">
        <f t="shared" si="9"/>
        <v>52.736961954720385</v>
      </c>
      <c r="C122">
        <f t="shared" si="8"/>
        <v>0.37026062708506263</v>
      </c>
      <c r="D122">
        <f t="shared" si="11"/>
        <v>0.38648735801961398</v>
      </c>
    </row>
    <row r="123" spans="1:4" x14ac:dyDescent="0.25">
      <c r="A123">
        <f t="shared" si="10"/>
        <v>0.39999999999999414</v>
      </c>
      <c r="B123">
        <f t="shared" si="9"/>
        <v>52.842242233966161</v>
      </c>
      <c r="C123">
        <f t="shared" si="8"/>
        <v>0.36313016675558951</v>
      </c>
      <c r="D123">
        <f t="shared" si="11"/>
        <v>0.39002748273363458</v>
      </c>
    </row>
    <row r="124" spans="1:4" x14ac:dyDescent="0.25">
      <c r="A124">
        <f t="shared" si="10"/>
        <v>0.44999999999999413</v>
      </c>
      <c r="B124">
        <f t="shared" si="9"/>
        <v>52.947522513211929</v>
      </c>
      <c r="C124">
        <f t="shared" si="8"/>
        <v>0.3552283459426368</v>
      </c>
      <c r="D124">
        <f t="shared" si="11"/>
        <v>0.39257764526209188</v>
      </c>
    </row>
    <row r="125" spans="1:4" x14ac:dyDescent="0.25">
      <c r="A125">
        <f t="shared" si="10"/>
        <v>0.49999999999999412</v>
      </c>
      <c r="B125">
        <f t="shared" si="9"/>
        <v>53.052802792457705</v>
      </c>
      <c r="C125">
        <f t="shared" si="8"/>
        <v>0.34661671583531956</v>
      </c>
      <c r="D125">
        <f t="shared" si="11"/>
        <v>0.39411640919001467</v>
      </c>
    </row>
    <row r="126" spans="1:4" x14ac:dyDescent="0.25">
      <c r="A126">
        <f t="shared" si="10"/>
        <v>0.54999999999999416</v>
      </c>
      <c r="B126">
        <f t="shared" si="9"/>
        <v>53.158083071703473</v>
      </c>
      <c r="C126">
        <f t="shared" si="8"/>
        <v>0.33736093370342191</v>
      </c>
      <c r="D126">
        <f t="shared" si="11"/>
        <v>0.39463078150433906</v>
      </c>
    </row>
    <row r="127" spans="1:4" x14ac:dyDescent="0.25">
      <c r="A127">
        <f t="shared" si="10"/>
        <v>0.5999999999999942</v>
      </c>
      <c r="B127">
        <f t="shared" si="9"/>
        <v>53.263363350949248</v>
      </c>
      <c r="C127">
        <f t="shared" si="8"/>
        <v>0.32752988179298775</v>
      </c>
      <c r="D127">
        <f t="shared" si="11"/>
        <v>0.39411640919001489</v>
      </c>
    </row>
    <row r="128" spans="1:4" x14ac:dyDescent="0.25">
      <c r="A128">
        <f t="shared" si="10"/>
        <v>0.64999999999999425</v>
      </c>
      <c r="B128">
        <f t="shared" si="9"/>
        <v>53.368643630195017</v>
      </c>
      <c r="C128">
        <f t="shared" si="8"/>
        <v>0.31719477026208032</v>
      </c>
      <c r="D128">
        <f t="shared" si="11"/>
        <v>0.39257764526209232</v>
      </c>
    </row>
    <row r="129" spans="1:4" x14ac:dyDescent="0.25">
      <c r="A129">
        <f t="shared" si="10"/>
        <v>0.69999999999999429</v>
      </c>
      <c r="B129">
        <f t="shared" si="9"/>
        <v>53.473923909440785</v>
      </c>
      <c r="C129">
        <f t="shared" si="8"/>
        <v>0.30642824115778167</v>
      </c>
      <c r="D129">
        <f t="shared" si="11"/>
        <v>0.39002748273363524</v>
      </c>
    </row>
    <row r="130" spans="1:4" x14ac:dyDescent="0.25">
      <c r="A130">
        <f t="shared" si="10"/>
        <v>0.74999999999999434</v>
      </c>
      <c r="B130">
        <f t="shared" si="9"/>
        <v>53.57920418868656</v>
      </c>
      <c r="C130">
        <f t="shared" si="8"/>
        <v>0.29530348966950876</v>
      </c>
      <c r="D130">
        <f t="shared" si="11"/>
        <v>0.38648735801961487</v>
      </c>
    </row>
    <row r="131" spans="1:4" x14ac:dyDescent="0.25">
      <c r="A131">
        <f t="shared" si="10"/>
        <v>0.79999999999999438</v>
      </c>
      <c r="B131">
        <f t="shared" si="9"/>
        <v>53.684484467932329</v>
      </c>
      <c r="C131">
        <f t="shared" ref="C131:C162" si="12">_xlfn.T.DIST(A131,$G$12,FALSE)</f>
        <v>0.28389341774567878</v>
      </c>
      <c r="D131">
        <f t="shared" si="11"/>
        <v>0.38198682823059676</v>
      </c>
    </row>
    <row r="132" spans="1:4" x14ac:dyDescent="0.25">
      <c r="A132">
        <f t="shared" si="10"/>
        <v>0.84999999999999443</v>
      </c>
      <c r="B132">
        <f t="shared" si="9"/>
        <v>53.789764747178104</v>
      </c>
      <c r="C132">
        <f t="shared" si="12"/>
        <v>0.27226983368486563</v>
      </c>
      <c r="D132">
        <f t="shared" si="11"/>
        <v>0.37656312962559696</v>
      </c>
    </row>
    <row r="133" spans="1:4" x14ac:dyDescent="0.25">
      <c r="A133">
        <f t="shared" si="10"/>
        <v>0.89999999999999447</v>
      </c>
      <c r="B133">
        <f t="shared" si="9"/>
        <v>53.895045026423873</v>
      </c>
      <c r="C133">
        <f t="shared" si="12"/>
        <v>0.26050270957114058</v>
      </c>
      <c r="D133">
        <f t="shared" si="11"/>
        <v>0.37026062708506263</v>
      </c>
    </row>
    <row r="134" spans="1:4" x14ac:dyDescent="0.25">
      <c r="A134">
        <f t="shared" ref="A134:A150" si="13">A133+0.05</f>
        <v>0.94999999999999452</v>
      </c>
      <c r="B134">
        <f t="shared" si="9"/>
        <v>54.000325305669648</v>
      </c>
      <c r="C134">
        <f t="shared" si="12"/>
        <v>0.24865950648373136</v>
      </c>
      <c r="D134">
        <f t="shared" si="11"/>
        <v>0.36313016675558951</v>
      </c>
    </row>
    <row r="135" spans="1:4" x14ac:dyDescent="0.25">
      <c r="A135">
        <f t="shared" si="13"/>
        <v>0.99999999999999456</v>
      </c>
      <c r="B135">
        <f t="shared" si="9"/>
        <v>54.105605584915416</v>
      </c>
      <c r="C135">
        <f t="shared" si="12"/>
        <v>0.23680457534322211</v>
      </c>
      <c r="D135">
        <f t="shared" si="11"/>
        <v>0.3552283459426368</v>
      </c>
    </row>
    <row r="136" spans="1:4" x14ac:dyDescent="0.25">
      <c r="A136">
        <f t="shared" si="13"/>
        <v>1.0499999999999945</v>
      </c>
      <c r="B136">
        <f t="shared" si="9"/>
        <v>54.210885864161192</v>
      </c>
      <c r="C136">
        <f t="shared" si="12"/>
        <v>0.22499863912943982</v>
      </c>
      <c r="D136">
        <f t="shared" si="11"/>
        <v>0.34661671583531956</v>
      </c>
    </row>
    <row r="137" spans="1:4" x14ac:dyDescent="0.25">
      <c r="A137">
        <f t="shared" si="13"/>
        <v>1.0999999999999945</v>
      </c>
      <c r="B137">
        <f t="shared" si="9"/>
        <v>54.31616614340696</v>
      </c>
      <c r="C137">
        <f t="shared" si="12"/>
        <v>0.21329836008602673</v>
      </c>
      <c r="D137">
        <f t="shared" si="11"/>
        <v>0.33736093370342191</v>
      </c>
    </row>
    <row r="138" spans="1:4" x14ac:dyDescent="0.25">
      <c r="A138">
        <f t="shared" si="13"/>
        <v>1.1499999999999946</v>
      </c>
      <c r="B138">
        <f t="shared" si="9"/>
        <v>54.421446422652735</v>
      </c>
      <c r="C138">
        <f t="shared" si="12"/>
        <v>0.20175599347423653</v>
      </c>
      <c r="D138">
        <f t="shared" si="11"/>
        <v>0.32752988179298775</v>
      </c>
    </row>
    <row r="139" spans="1:4" x14ac:dyDescent="0.25">
      <c r="A139">
        <f t="shared" si="13"/>
        <v>1.1999999999999946</v>
      </c>
      <c r="B139">
        <f t="shared" si="9"/>
        <v>54.526726701898504</v>
      </c>
      <c r="C139">
        <f t="shared" si="12"/>
        <v>0.19041912750727583</v>
      </c>
      <c r="D139">
        <f t="shared" si="11"/>
        <v>0.31719477026208032</v>
      </c>
    </row>
    <row r="140" spans="1:4" x14ac:dyDescent="0.25">
      <c r="A140">
        <f t="shared" si="13"/>
        <v>1.2499999999999947</v>
      </c>
      <c r="B140">
        <f t="shared" si="9"/>
        <v>54.632006981144272</v>
      </c>
      <c r="C140">
        <f t="shared" si="12"/>
        <v>0.17933050733160305</v>
      </c>
      <c r="D140">
        <f t="shared" si="11"/>
        <v>0.30642824115778167</v>
      </c>
    </row>
    <row r="141" spans="1:4" x14ac:dyDescent="0.25">
      <c r="A141">
        <f t="shared" si="13"/>
        <v>1.2999999999999947</v>
      </c>
      <c r="B141">
        <f t="shared" si="9"/>
        <v>54.737287260390048</v>
      </c>
      <c r="C141">
        <f t="shared" si="12"/>
        <v>0.16852793935859181</v>
      </c>
      <c r="D141">
        <f t="shared" si="11"/>
        <v>0.29530348966950876</v>
      </c>
    </row>
    <row r="142" spans="1:4" x14ac:dyDescent="0.25">
      <c r="A142">
        <f t="shared" si="13"/>
        <v>1.3499999999999948</v>
      </c>
      <c r="B142">
        <f t="shared" si="9"/>
        <v>54.842567539635816</v>
      </c>
      <c r="C142">
        <f t="shared" si="12"/>
        <v>0.15804427091467044</v>
      </c>
      <c r="D142">
        <f t="shared" si="11"/>
        <v>0.28389341774567878</v>
      </c>
    </row>
    <row r="143" spans="1:4" x14ac:dyDescent="0.25">
      <c r="A143">
        <f t="shared" si="13"/>
        <v>1.3999999999999948</v>
      </c>
      <c r="B143">
        <f t="shared" si="9"/>
        <v>54.947847818881591</v>
      </c>
      <c r="C143">
        <f t="shared" si="12"/>
        <v>0.14790743908643708</v>
      </c>
      <c r="D143">
        <f t="shared" si="11"/>
        <v>0.27226983368486563</v>
      </c>
    </row>
    <row r="144" spans="1:4" x14ac:dyDescent="0.25">
      <c r="A144">
        <f t="shared" si="13"/>
        <v>1.4499999999999948</v>
      </c>
      <c r="B144">
        <f t="shared" si="9"/>
        <v>55.05312809812736</v>
      </c>
      <c r="C144">
        <f t="shared" si="12"/>
        <v>0.13814058179593591</v>
      </c>
      <c r="D144">
        <f t="shared" si="11"/>
        <v>0.26050270957114058</v>
      </c>
    </row>
    <row r="145" spans="1:4" x14ac:dyDescent="0.25">
      <c r="A145">
        <f t="shared" si="13"/>
        <v>1.4999999999999949</v>
      </c>
      <c r="B145">
        <f t="shared" si="9"/>
        <v>55.158408377373135</v>
      </c>
      <c r="C145">
        <f t="shared" si="12"/>
        <v>0.12876220354825788</v>
      </c>
      <c r="D145">
        <f t="shared" si="11"/>
        <v>0.24865950648373136</v>
      </c>
    </row>
    <row r="146" spans="1:4" x14ac:dyDescent="0.25">
      <c r="A146">
        <f t="shared" si="13"/>
        <v>1.5499999999999949</v>
      </c>
      <c r="B146">
        <f t="shared" si="9"/>
        <v>55.263688656618903</v>
      </c>
      <c r="C146">
        <f t="shared" si="12"/>
        <v>0.11978638793929525</v>
      </c>
      <c r="D146">
        <f t="shared" si="11"/>
        <v>0.23680457534322211</v>
      </c>
    </row>
    <row r="147" spans="1:4" x14ac:dyDescent="0.25">
      <c r="A147">
        <f t="shared" si="13"/>
        <v>1.599999999999995</v>
      </c>
      <c r="B147">
        <f t="shared" si="9"/>
        <v>55.368968935864679</v>
      </c>
      <c r="C147">
        <f t="shared" si="12"/>
        <v>0.11122304887982307</v>
      </c>
      <c r="D147">
        <f t="shared" si="11"/>
        <v>0.22499863912943982</v>
      </c>
    </row>
    <row r="148" spans="1:4" x14ac:dyDescent="0.25">
      <c r="A148">
        <f t="shared" si="13"/>
        <v>1.649999999999995</v>
      </c>
      <c r="B148">
        <f t="shared" si="9"/>
        <v>55.474249215110447</v>
      </c>
      <c r="C148">
        <f t="shared" si="12"/>
        <v>0.103078212562036</v>
      </c>
      <c r="D148">
        <f t="shared" si="11"/>
        <v>0.21329836008602673</v>
      </c>
    </row>
    <row r="149" spans="1:4" x14ac:dyDescent="0.25">
      <c r="A149">
        <f t="shared" si="13"/>
        <v>1.6999999999999951</v>
      </c>
      <c r="B149">
        <f t="shared" si="9"/>
        <v>55.579529494356223</v>
      </c>
      <c r="C149">
        <f t="shared" si="12"/>
        <v>9.5354322441384975E-2</v>
      </c>
      <c r="D149">
        <f t="shared" si="11"/>
        <v>0.20175599347423653</v>
      </c>
    </row>
    <row r="150" spans="1:4" x14ac:dyDescent="0.25">
      <c r="A150">
        <f t="shared" si="13"/>
        <v>1.7499999999999951</v>
      </c>
      <c r="B150">
        <f t="shared" si="9"/>
        <v>55.684809773601991</v>
      </c>
      <c r="C150">
        <f t="shared" si="12"/>
        <v>8.8050559902824205E-2</v>
      </c>
      <c r="D150">
        <f t="shared" si="11"/>
        <v>0.19041912750727583</v>
      </c>
    </row>
    <row r="151" spans="1:4" x14ac:dyDescent="0.25">
      <c r="A151">
        <f t="shared" ref="A151:A187" si="14">A150+0.05</f>
        <v>1.7999999999999952</v>
      </c>
      <c r="B151">
        <f t="shared" si="9"/>
        <v>55.790090052847759</v>
      </c>
      <c r="C151">
        <f t="shared" si="12"/>
        <v>8.116317379796778E-2</v>
      </c>
      <c r="D151">
        <f t="shared" si="11"/>
        <v>0.17933050733160305</v>
      </c>
    </row>
    <row r="152" spans="1:4" x14ac:dyDescent="0.25">
      <c r="A152">
        <f t="shared" si="14"/>
        <v>1.8499999999999952</v>
      </c>
      <c r="B152">
        <f t="shared" si="9"/>
        <v>55.895370332093535</v>
      </c>
      <c r="C152">
        <f t="shared" si="12"/>
        <v>7.4685812649715799E-2</v>
      </c>
      <c r="D152">
        <f t="shared" si="11"/>
        <v>0.16852793935859181</v>
      </c>
    </row>
    <row r="153" spans="1:4" x14ac:dyDescent="0.25">
      <c r="A153">
        <f t="shared" si="14"/>
        <v>1.8999999999999952</v>
      </c>
      <c r="B153">
        <f t="shared" si="9"/>
        <v>56.000650611339303</v>
      </c>
      <c r="C153">
        <f t="shared" si="12"/>
        <v>6.8609853996108847E-2</v>
      </c>
      <c r="D153">
        <f t="shared" si="11"/>
        <v>0.15804427091467044</v>
      </c>
    </row>
    <row r="154" spans="1:4" x14ac:dyDescent="0.25">
      <c r="A154">
        <f t="shared" si="14"/>
        <v>1.9499999999999953</v>
      </c>
      <c r="B154">
        <f t="shared" si="9"/>
        <v>56.105930890585078</v>
      </c>
      <c r="C154">
        <f t="shared" si="12"/>
        <v>6.2924726059681954E-2</v>
      </c>
      <c r="D154">
        <f t="shared" si="11"/>
        <v>0.14790743908643708</v>
      </c>
    </row>
    <row r="155" spans="1:4" x14ac:dyDescent="0.25">
      <c r="A155">
        <f t="shared" si="14"/>
        <v>1.9999999999999953</v>
      </c>
      <c r="B155">
        <f t="shared" si="9"/>
        <v>56.211211169830847</v>
      </c>
      <c r="C155">
        <f t="shared" si="12"/>
        <v>5.7618217658944128E-2</v>
      </c>
      <c r="D155">
        <f t="shared" si="11"/>
        <v>0.13814058179593591</v>
      </c>
    </row>
    <row r="156" spans="1:4" x14ac:dyDescent="0.25">
      <c r="A156">
        <f t="shared" si="14"/>
        <v>2.0499999999999954</v>
      </c>
      <c r="B156">
        <f t="shared" si="9"/>
        <v>56.316491449076622</v>
      </c>
      <c r="C156">
        <f t="shared" si="12"/>
        <v>5.2676773004109993E-2</v>
      </c>
      <c r="D156">
        <f t="shared" si="11"/>
        <v>0.12876220354825788</v>
      </c>
    </row>
    <row r="157" spans="1:4" x14ac:dyDescent="0.25">
      <c r="A157">
        <f t="shared" si="14"/>
        <v>2.0999999999999952</v>
      </c>
      <c r="B157">
        <f t="shared" si="9"/>
        <v>56.421771728322391</v>
      </c>
      <c r="C157">
        <f t="shared" si="12"/>
        <v>4.8085768722215941E-2</v>
      </c>
      <c r="D157">
        <f t="shared" si="11"/>
        <v>0.11978638793929525</v>
      </c>
    </row>
    <row r="158" spans="1:4" x14ac:dyDescent="0.25">
      <c r="A158">
        <f t="shared" si="14"/>
        <v>2.149999999999995</v>
      </c>
      <c r="B158">
        <f t="shared" si="9"/>
        <v>56.527052007568159</v>
      </c>
      <c r="C158">
        <f t="shared" si="12"/>
        <v>4.3829771122804284E-2</v>
      </c>
      <c r="D158">
        <f t="shared" si="11"/>
        <v>0.11122304887982307</v>
      </c>
    </row>
    <row r="159" spans="1:4" x14ac:dyDescent="0.25">
      <c r="A159">
        <f t="shared" si="14"/>
        <v>2.1999999999999948</v>
      </c>
      <c r="B159">
        <f t="shared" si="9"/>
        <v>56.632332286813934</v>
      </c>
      <c r="C159">
        <f t="shared" si="12"/>
        <v>3.989277233315406E-2</v>
      </c>
      <c r="D159">
        <f t="shared" si="11"/>
        <v>0.103078212562036</v>
      </c>
    </row>
    <row r="160" spans="1:4" x14ac:dyDescent="0.25">
      <c r="A160">
        <f t="shared" si="14"/>
        <v>2.2499999999999947</v>
      </c>
      <c r="B160">
        <f t="shared" si="9"/>
        <v>56.737612566059703</v>
      </c>
      <c r="C160">
        <f t="shared" si="12"/>
        <v>3.6258404493319359E-2</v>
      </c>
      <c r="D160">
        <f t="shared" si="11"/>
        <v>9.5354322441384975E-2</v>
      </c>
    </row>
    <row r="161" spans="1:4" x14ac:dyDescent="0.25">
      <c r="A161">
        <f t="shared" si="14"/>
        <v>2.2999999999999945</v>
      </c>
      <c r="B161">
        <f t="shared" si="9"/>
        <v>56.842892845305478</v>
      </c>
      <c r="C161">
        <f t="shared" si="12"/>
        <v>3.291013170056635E-2</v>
      </c>
      <c r="D161">
        <f t="shared" si="11"/>
        <v>8.8050559902824205E-2</v>
      </c>
    </row>
    <row r="162" spans="1:4" x14ac:dyDescent="0.25">
      <c r="A162">
        <f t="shared" si="14"/>
        <v>2.3499999999999943</v>
      </c>
      <c r="B162">
        <f t="shared" si="9"/>
        <v>56.948173124551246</v>
      </c>
      <c r="C162">
        <f t="shared" si="12"/>
        <v>2.9831419827301624E-2</v>
      </c>
      <c r="D162">
        <f t="shared" si="11"/>
        <v>8.116317379796778E-2</v>
      </c>
    </row>
    <row r="163" spans="1:4" x14ac:dyDescent="0.25">
      <c r="A163">
        <f t="shared" si="14"/>
        <v>2.3999999999999941</v>
      </c>
      <c r="B163">
        <f t="shared" si="9"/>
        <v>57.053453403797015</v>
      </c>
      <c r="C163">
        <f t="shared" ref="C163:C195" si="15">_xlfn.T.DIST(A163,$G$12,FALSE)</f>
        <v>2.7005884705591225E-2</v>
      </c>
      <c r="D163">
        <f t="shared" si="11"/>
        <v>7.4685812649715799E-2</v>
      </c>
    </row>
    <row r="164" spans="1:4" x14ac:dyDescent="0.25">
      <c r="A164">
        <f t="shared" si="14"/>
        <v>2.449999999999994</v>
      </c>
      <c r="B164">
        <f t="shared" ref="B164:B195" si="16">$G$5+A164*$G$11</f>
        <v>57.15873368304279</v>
      </c>
      <c r="C164">
        <f t="shared" si="15"/>
        <v>2.4417419476118914E-2</v>
      </c>
      <c r="D164">
        <f t="shared" si="11"/>
        <v>6.8609853996108847E-2</v>
      </c>
    </row>
    <row r="165" spans="1:4" x14ac:dyDescent="0.25">
      <c r="A165">
        <f t="shared" si="14"/>
        <v>2.4999999999999938</v>
      </c>
      <c r="B165">
        <f t="shared" si="16"/>
        <v>57.264013962288558</v>
      </c>
      <c r="C165">
        <f t="shared" si="15"/>
        <v>2.2050302142681801E-2</v>
      </c>
      <c r="D165">
        <f t="shared" si="11"/>
        <v>6.2924726059681954E-2</v>
      </c>
    </row>
    <row r="166" spans="1:4" x14ac:dyDescent="0.25">
      <c r="A166">
        <f t="shared" si="14"/>
        <v>2.5499999999999936</v>
      </c>
      <c r="B166">
        <f t="shared" si="16"/>
        <v>57.369294241534334</v>
      </c>
      <c r="C166">
        <f t="shared" si="15"/>
        <v>1.9889284559030451E-2</v>
      </c>
      <c r="D166">
        <f t="shared" si="11"/>
        <v>5.7618217658944128E-2</v>
      </c>
    </row>
    <row r="167" spans="1:4" x14ac:dyDescent="0.25">
      <c r="A167">
        <f t="shared" si="14"/>
        <v>2.5999999999999934</v>
      </c>
      <c r="B167">
        <f t="shared" si="16"/>
        <v>57.474574520780102</v>
      </c>
      <c r="C167">
        <f t="shared" si="15"/>
        <v>1.7919664207861331E-2</v>
      </c>
      <c r="D167">
        <f t="shared" si="11"/>
        <v>5.2676773004109993E-2</v>
      </c>
    </row>
    <row r="168" spans="1:4" x14ac:dyDescent="0.25">
      <c r="A168">
        <f t="shared" si="14"/>
        <v>2.6499999999999932</v>
      </c>
      <c r="B168">
        <f t="shared" si="16"/>
        <v>57.579854800025871</v>
      </c>
      <c r="C168">
        <f t="shared" si="15"/>
        <v>1.6127340217466608E-2</v>
      </c>
      <c r="D168">
        <f t="shared" si="11"/>
        <v>4.8085768722215941E-2</v>
      </c>
    </row>
    <row r="169" spans="1:4" x14ac:dyDescent="0.25">
      <c r="A169">
        <f t="shared" si="14"/>
        <v>2.6999999999999931</v>
      </c>
      <c r="B169">
        <f t="shared" si="16"/>
        <v>57.685135079271646</v>
      </c>
      <c r="C169">
        <f t="shared" si="15"/>
        <v>1.4498855105670852E-2</v>
      </c>
      <c r="D169">
        <f t="shared" si="11"/>
        <v>4.3829771122804284E-2</v>
      </c>
    </row>
    <row r="170" spans="1:4" x14ac:dyDescent="0.25">
      <c r="A170">
        <f t="shared" si="14"/>
        <v>2.7499999999999929</v>
      </c>
      <c r="B170">
        <f t="shared" si="16"/>
        <v>57.790415358517414</v>
      </c>
      <c r="C170">
        <f t="shared" si="15"/>
        <v>1.3021423749058899E-2</v>
      </c>
      <c r="D170">
        <f t="shared" si="11"/>
        <v>3.989277233315406E-2</v>
      </c>
    </row>
    <row r="171" spans="1:4" x14ac:dyDescent="0.25">
      <c r="A171">
        <f t="shared" si="14"/>
        <v>2.7999999999999927</v>
      </c>
      <c r="B171">
        <f t="shared" si="16"/>
        <v>57.895695637763183</v>
      </c>
      <c r="C171">
        <f t="shared" si="15"/>
        <v>1.1682951053855821E-2</v>
      </c>
      <c r="D171">
        <f t="shared" si="11"/>
        <v>3.6258404493319359E-2</v>
      </c>
    </row>
    <row r="172" spans="1:4" x14ac:dyDescent="0.25">
      <c r="A172">
        <f t="shared" si="14"/>
        <v>2.8499999999999925</v>
      </c>
      <c r="B172">
        <f t="shared" si="16"/>
        <v>58.000975917008958</v>
      </c>
      <c r="C172">
        <f t="shared" si="15"/>
        <v>1.0472039758657872E-2</v>
      </c>
      <c r="D172">
        <f t="shared" si="11"/>
        <v>3.291013170056635E-2</v>
      </c>
    </row>
    <row r="173" spans="1:4" x14ac:dyDescent="0.25">
      <c r="A173">
        <f t="shared" si="14"/>
        <v>2.8999999999999924</v>
      </c>
      <c r="B173">
        <f t="shared" si="16"/>
        <v>58.106256196254726</v>
      </c>
      <c r="C173">
        <f t="shared" si="15"/>
        <v>9.3779897336770356E-3</v>
      </c>
      <c r="D173">
        <f t="shared" si="11"/>
        <v>2.9831419827301624E-2</v>
      </c>
    </row>
    <row r="174" spans="1:4" x14ac:dyDescent="0.25">
      <c r="A174">
        <f t="shared" si="14"/>
        <v>2.9499999999999922</v>
      </c>
      <c r="B174">
        <f t="shared" si="16"/>
        <v>58.211536475500502</v>
      </c>
      <c r="C174">
        <f t="shared" si="15"/>
        <v>8.3907900609674554E-3</v>
      </c>
      <c r="D174">
        <f t="shared" si="11"/>
        <v>2.7005884705591225E-2</v>
      </c>
    </row>
    <row r="175" spans="1:4" x14ac:dyDescent="0.25">
      <c r="A175">
        <f t="shared" si="14"/>
        <v>2.999999999999992</v>
      </c>
      <c r="B175">
        <f t="shared" si="16"/>
        <v>58.31681675474627</v>
      </c>
      <c r="C175">
        <f t="shared" si="15"/>
        <v>7.5011050894843853E-3</v>
      </c>
      <c r="D175">
        <f t="shared" ref="D175:D195" si="17">C164</f>
        <v>2.4417419476118914E-2</v>
      </c>
    </row>
    <row r="176" spans="1:4" x14ac:dyDescent="0.25">
      <c r="A176">
        <f t="shared" si="14"/>
        <v>3.0499999999999918</v>
      </c>
      <c r="B176">
        <f t="shared" si="16"/>
        <v>58.422097033992046</v>
      </c>
      <c r="C176">
        <f t="shared" si="15"/>
        <v>6.7002555615102146E-3</v>
      </c>
      <c r="D176">
        <f t="shared" si="17"/>
        <v>2.2050302142681801E-2</v>
      </c>
    </row>
    <row r="177" spans="1:4" x14ac:dyDescent="0.25">
      <c r="A177">
        <f t="shared" si="14"/>
        <v>3.0999999999999917</v>
      </c>
      <c r="B177">
        <f t="shared" si="16"/>
        <v>58.527377313237814</v>
      </c>
      <c r="C177">
        <f t="shared" si="15"/>
        <v>5.9801958061784658E-3</v>
      </c>
      <c r="D177">
        <f t="shared" si="17"/>
        <v>1.9889284559030451E-2</v>
      </c>
    </row>
    <row r="178" spans="1:4" x14ac:dyDescent="0.25">
      <c r="A178">
        <f t="shared" si="14"/>
        <v>3.1499999999999915</v>
      </c>
      <c r="B178">
        <f t="shared" si="16"/>
        <v>58.632657592483582</v>
      </c>
      <c r="C178">
        <f t="shared" si="15"/>
        <v>5.3334878942437837E-3</v>
      </c>
      <c r="D178">
        <f t="shared" si="17"/>
        <v>1.7919664207861331E-2</v>
      </c>
    </row>
    <row r="179" spans="1:4" x14ac:dyDescent="0.25">
      <c r="A179">
        <f t="shared" si="14"/>
        <v>3.1999999999999913</v>
      </c>
      <c r="B179">
        <f t="shared" si="16"/>
        <v>58.737937871729358</v>
      </c>
      <c r="C179">
        <f t="shared" si="15"/>
        <v>4.7532735481094143E-3</v>
      </c>
      <c r="D179">
        <f t="shared" si="17"/>
        <v>1.6127340217466608E-2</v>
      </c>
    </row>
    <row r="180" spans="1:4" x14ac:dyDescent="0.25">
      <c r="A180">
        <f t="shared" si="14"/>
        <v>3.2499999999999911</v>
      </c>
      <c r="B180">
        <f t="shared" si="16"/>
        <v>58.843218150975126</v>
      </c>
      <c r="C180">
        <f t="shared" si="15"/>
        <v>4.2332445042164279E-3</v>
      </c>
      <c r="D180">
        <f t="shared" si="17"/>
        <v>1.4498855105670852E-2</v>
      </c>
    </row>
    <row r="181" spans="1:4" x14ac:dyDescent="0.25">
      <c r="A181">
        <f t="shared" si="14"/>
        <v>3.2999999999999909</v>
      </c>
      <c r="B181">
        <f t="shared" si="16"/>
        <v>58.948498430220894</v>
      </c>
      <c r="C181">
        <f t="shared" si="15"/>
        <v>3.7676119325931292E-3</v>
      </c>
      <c r="D181">
        <f t="shared" si="17"/>
        <v>1.3021423749058899E-2</v>
      </c>
    </row>
    <row r="182" spans="1:4" x14ac:dyDescent="0.25">
      <c r="A182">
        <f t="shared" si="14"/>
        <v>3.3499999999999908</v>
      </c>
      <c r="B182">
        <f t="shared" si="16"/>
        <v>59.05377870946667</v>
      </c>
      <c r="C182">
        <f t="shared" si="15"/>
        <v>3.3510754316706131E-3</v>
      </c>
      <c r="D182">
        <f t="shared" si="17"/>
        <v>1.1682951053855821E-2</v>
      </c>
    </row>
    <row r="183" spans="1:4" x14ac:dyDescent="0.25">
      <c r="A183">
        <f t="shared" si="14"/>
        <v>3.3999999999999906</v>
      </c>
      <c r="B183">
        <f t="shared" si="16"/>
        <v>59.159058988712438</v>
      </c>
      <c r="C183">
        <f t="shared" si="15"/>
        <v>2.9787920360837329E-3</v>
      </c>
      <c r="D183">
        <f t="shared" si="17"/>
        <v>1.0472039758657872E-2</v>
      </c>
    </row>
    <row r="184" spans="1:4" x14ac:dyDescent="0.25">
      <c r="A184">
        <f t="shared" si="14"/>
        <v>3.4499999999999904</v>
      </c>
      <c r="B184">
        <f t="shared" si="16"/>
        <v>59.264339267958206</v>
      </c>
      <c r="C184">
        <f t="shared" si="15"/>
        <v>2.6463456015155843E-3</v>
      </c>
      <c r="D184">
        <f t="shared" si="17"/>
        <v>9.3779897336770356E-3</v>
      </c>
    </row>
    <row r="185" spans="1:4" x14ac:dyDescent="0.25">
      <c r="A185">
        <f t="shared" si="14"/>
        <v>3.4999999999999902</v>
      </c>
      <c r="B185">
        <f t="shared" si="16"/>
        <v>59.369619547203982</v>
      </c>
      <c r="C185">
        <f t="shared" si="15"/>
        <v>2.3497168638986999E-3</v>
      </c>
      <c r="D185">
        <f t="shared" si="17"/>
        <v>8.3907900609674554E-3</v>
      </c>
    </row>
    <row r="186" spans="1:4" x14ac:dyDescent="0.25">
      <c r="A186">
        <f t="shared" si="14"/>
        <v>3.5499999999999901</v>
      </c>
      <c r="B186">
        <f t="shared" si="16"/>
        <v>59.47489982644975</v>
      </c>
      <c r="C186">
        <f t="shared" si="15"/>
        <v>2.0852544104593717E-3</v>
      </c>
      <c r="D186">
        <f t="shared" si="17"/>
        <v>7.5011050894843853E-3</v>
      </c>
    </row>
    <row r="187" spans="1:4" x14ac:dyDescent="0.25">
      <c r="A187">
        <f t="shared" si="14"/>
        <v>3.5999999999999899</v>
      </c>
      <c r="B187">
        <f t="shared" si="16"/>
        <v>59.580180105695526</v>
      </c>
      <c r="C187">
        <f t="shared" si="15"/>
        <v>1.8496467470340988E-3</v>
      </c>
      <c r="D187">
        <f t="shared" si="17"/>
        <v>6.7002555615102146E-3</v>
      </c>
    </row>
    <row r="188" spans="1:4" x14ac:dyDescent="0.25">
      <c r="A188">
        <f t="shared" ref="A188:A195" si="18">A187+0.05</f>
        <v>3.6499999999999897</v>
      </c>
      <c r="B188">
        <f t="shared" si="16"/>
        <v>59.685460384941294</v>
      </c>
      <c r="C188">
        <f t="shared" si="15"/>
        <v>1.6398955995339658E-3</v>
      </c>
      <c r="D188">
        <f t="shared" si="17"/>
        <v>5.9801958061784658E-3</v>
      </c>
    </row>
    <row r="189" spans="1:4" x14ac:dyDescent="0.25">
      <c r="A189">
        <f t="shared" si="18"/>
        <v>3.6999999999999895</v>
      </c>
      <c r="B189">
        <f t="shared" si="16"/>
        <v>59.790740664187069</v>
      </c>
      <c r="C189">
        <f t="shared" si="15"/>
        <v>1.4532905470307971E-3</v>
      </c>
      <c r="D189">
        <f t="shared" si="17"/>
        <v>5.3334878942437837E-3</v>
      </c>
    </row>
    <row r="190" spans="1:4" x14ac:dyDescent="0.25">
      <c r="A190">
        <f t="shared" si="18"/>
        <v>3.7499999999999893</v>
      </c>
      <c r="B190">
        <f t="shared" si="16"/>
        <v>59.896020943432838</v>
      </c>
      <c r="C190">
        <f t="shared" si="15"/>
        <v>1.2873850492758165E-3</v>
      </c>
      <c r="D190">
        <f t="shared" si="17"/>
        <v>4.7532735481094143E-3</v>
      </c>
    </row>
    <row r="191" spans="1:4" x14ac:dyDescent="0.25">
      <c r="A191">
        <f t="shared" si="18"/>
        <v>3.7999999999999892</v>
      </c>
      <c r="B191">
        <f t="shared" si="16"/>
        <v>60.001301222678606</v>
      </c>
      <c r="C191">
        <f t="shared" si="15"/>
        <v>1.1399739020851968E-3</v>
      </c>
      <c r="D191">
        <f t="shared" si="17"/>
        <v>4.2332445042164279E-3</v>
      </c>
    </row>
    <row r="192" spans="1:4" x14ac:dyDescent="0.25">
      <c r="A192">
        <f t="shared" si="18"/>
        <v>3.849999999999989</v>
      </c>
      <c r="B192">
        <f t="shared" si="16"/>
        <v>60.106581501924381</v>
      </c>
      <c r="C192">
        <f t="shared" si="15"/>
        <v>1.0090721294654457E-3</v>
      </c>
      <c r="D192">
        <f t="shared" si="17"/>
        <v>3.7676119325931292E-3</v>
      </c>
    </row>
    <row r="193" spans="1:4" x14ac:dyDescent="0.25">
      <c r="A193">
        <f t="shared" si="18"/>
        <v>3.8999999999999888</v>
      </c>
      <c r="B193">
        <f t="shared" si="16"/>
        <v>60.21186178117015</v>
      </c>
      <c r="C193">
        <f t="shared" si="15"/>
        <v>8.9289530112843024E-4</v>
      </c>
      <c r="D193">
        <f t="shared" si="17"/>
        <v>3.3510754316706131E-3</v>
      </c>
    </row>
    <row r="194" spans="1:4" x14ac:dyDescent="0.25">
      <c r="A194">
        <f t="shared" si="18"/>
        <v>3.9499999999999886</v>
      </c>
      <c r="B194">
        <f t="shared" si="16"/>
        <v>60.317142060415918</v>
      </c>
      <c r="C194">
        <f t="shared" si="15"/>
        <v>7.8984124769044975E-4</v>
      </c>
      <c r="D194">
        <f t="shared" si="17"/>
        <v>2.9787920360837329E-3</v>
      </c>
    </row>
    <row r="195" spans="1:4" x14ac:dyDescent="0.25">
      <c r="A195">
        <f t="shared" si="18"/>
        <v>3.9999999999999885</v>
      </c>
      <c r="B195">
        <f t="shared" si="16"/>
        <v>60.422422339661694</v>
      </c>
      <c r="C195">
        <f t="shared" si="15"/>
        <v>6.9847313290888867E-4</v>
      </c>
      <c r="D195">
        <f t="shared" si="17"/>
        <v>2.6463456015155843E-3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9"/>
  <dimension ref="A1:U31"/>
  <sheetViews>
    <sheetView workbookViewId="0"/>
  </sheetViews>
  <sheetFormatPr defaultRowHeight="15" x14ac:dyDescent="0.25"/>
  <cols>
    <col min="6" max="6" width="5" customWidth="1"/>
    <col min="10" max="10" width="5" customWidth="1"/>
    <col min="12" max="12" width="5" customWidth="1"/>
  </cols>
  <sheetData>
    <row r="1" spans="1:21" x14ac:dyDescent="0.25">
      <c r="A1" s="1" t="s">
        <v>993</v>
      </c>
      <c r="P1" t="s">
        <v>733</v>
      </c>
    </row>
    <row r="2" spans="1:21" x14ac:dyDescent="0.25">
      <c r="A2" s="1"/>
    </row>
    <row r="3" spans="1:21" x14ac:dyDescent="0.25">
      <c r="A3" s="24" t="s">
        <v>690</v>
      </c>
      <c r="E3" t="s">
        <v>691</v>
      </c>
      <c r="G3" t="s">
        <v>692</v>
      </c>
      <c r="K3" t="s">
        <v>693</v>
      </c>
      <c r="M3" t="s">
        <v>694</v>
      </c>
      <c r="P3" t="s">
        <v>734</v>
      </c>
      <c r="S3" t="s">
        <v>739</v>
      </c>
      <c r="U3" t="s">
        <v>740</v>
      </c>
    </row>
    <row r="5" spans="1:21" x14ac:dyDescent="0.25">
      <c r="A5" s="369">
        <v>3</v>
      </c>
      <c r="B5" s="370">
        <v>5</v>
      </c>
      <c r="C5" s="371">
        <v>8</v>
      </c>
      <c r="E5" s="236" t="e">
        <f t="array" aca="1" ref="E5:E16" ca="1">RESHAPE(A5:C8)</f>
        <v>#NAME?</v>
      </c>
      <c r="G5" s="233" t="e">
        <f t="array" aca="1" ref="G5:I8" ca="1">REVERSE(A5:C8)</f>
        <v>#NAME?</v>
      </c>
      <c r="H5" s="235" t="e">
        <f ca="1"/>
        <v>#NAME?</v>
      </c>
      <c r="I5" s="234" t="e">
        <f ca="1"/>
        <v>#NAME?</v>
      </c>
      <c r="K5" s="236" t="e">
        <f t="array" aca="1" ref="K5:K16" ca="1">QSORT(A5:C8)</f>
        <v>#NAME?</v>
      </c>
      <c r="M5" s="236" t="e">
        <f t="array" aca="1" ref="M5:M16" ca="1">NODUPES(A5:C8)</f>
        <v>#NAME?</v>
      </c>
      <c r="P5" s="277" t="s">
        <v>737</v>
      </c>
      <c r="Q5" s="269" t="s">
        <v>736</v>
      </c>
      <c r="S5" s="271" t="e">
        <f t="array" aca="1" ref="S5:S10" ca="1">SortUnique(P5:Q8,"-")</f>
        <v>#NAME?</v>
      </c>
      <c r="U5" s="271" t="e">
        <f t="array" aca="1" ref="U5:U10" ca="1">ExtractUnique(P5:Q8,"-")</f>
        <v>#NAME?</v>
      </c>
    </row>
    <row r="6" spans="1:21" x14ac:dyDescent="0.25">
      <c r="A6" s="372">
        <v>15</v>
      </c>
      <c r="B6" s="145"/>
      <c r="C6" s="373" t="s">
        <v>359</v>
      </c>
      <c r="E6" s="163" t="e">
        <f ca="1"/>
        <v>#NAME?</v>
      </c>
      <c r="G6" s="166" t="e">
        <f ca="1"/>
        <v>#NAME?</v>
      </c>
      <c r="H6" s="8" t="e">
        <f ca="1"/>
        <v>#NAME?</v>
      </c>
      <c r="I6" s="167" t="e">
        <f ca="1"/>
        <v>#NAME?</v>
      </c>
      <c r="K6" s="163" t="e">
        <f ca="1"/>
        <v>#NAME?</v>
      </c>
      <c r="M6" s="163" t="e">
        <f ca="1"/>
        <v>#NAME?</v>
      </c>
      <c r="P6" s="278" t="s">
        <v>735</v>
      </c>
      <c r="Q6" s="279" t="s">
        <v>708</v>
      </c>
      <c r="S6" s="163" t="e">
        <f ca="1"/>
        <v>#NAME?</v>
      </c>
      <c r="U6" s="163" t="e">
        <f ca="1"/>
        <v>#NAME?</v>
      </c>
    </row>
    <row r="7" spans="1:21" x14ac:dyDescent="0.25">
      <c r="A7" s="372">
        <v>5</v>
      </c>
      <c r="B7" s="145" t="s">
        <v>359</v>
      </c>
      <c r="C7" s="373">
        <v>0</v>
      </c>
      <c r="E7" s="163" t="e">
        <f ca="1"/>
        <v>#NAME?</v>
      </c>
      <c r="G7" s="166" t="e">
        <f ca="1"/>
        <v>#NAME?</v>
      </c>
      <c r="H7" s="8" t="e">
        <f ca="1"/>
        <v>#NAME?</v>
      </c>
      <c r="I7" s="167" t="e">
        <f ca="1"/>
        <v>#NAME?</v>
      </c>
      <c r="K7" s="163" t="e">
        <f ca="1"/>
        <v>#NAME?</v>
      </c>
      <c r="M7" s="163" t="e">
        <f ca="1"/>
        <v>#NAME?</v>
      </c>
      <c r="P7" s="278" t="s">
        <v>736</v>
      </c>
      <c r="Q7" s="279" t="s">
        <v>737</v>
      </c>
      <c r="S7" s="163" t="e">
        <f ca="1"/>
        <v>#NAME?</v>
      </c>
      <c r="U7" s="163" t="e">
        <f ca="1"/>
        <v>#NAME?</v>
      </c>
    </row>
    <row r="8" spans="1:21" x14ac:dyDescent="0.25">
      <c r="A8" s="374">
        <v>12</v>
      </c>
      <c r="B8" s="375" t="s">
        <v>307</v>
      </c>
      <c r="C8" s="376">
        <v>8</v>
      </c>
      <c r="E8" s="163" t="e">
        <f ca="1"/>
        <v>#NAME?</v>
      </c>
      <c r="G8" s="148" t="e">
        <f ca="1"/>
        <v>#NAME?</v>
      </c>
      <c r="H8" s="11" t="e">
        <f ca="1"/>
        <v>#NAME?</v>
      </c>
      <c r="I8" s="153" t="e">
        <f ca="1"/>
        <v>#NAME?</v>
      </c>
      <c r="K8" s="163" t="e">
        <f ca="1"/>
        <v>#NAME?</v>
      </c>
      <c r="M8" s="163" t="e">
        <f ca="1"/>
        <v>#NAME?</v>
      </c>
      <c r="P8" s="158" t="s">
        <v>708</v>
      </c>
      <c r="Q8" s="267" t="s">
        <v>738</v>
      </c>
      <c r="S8" s="163" t="e">
        <f ca="1"/>
        <v>#NAME?</v>
      </c>
      <c r="U8" s="163" t="e">
        <f ca="1"/>
        <v>#NAME?</v>
      </c>
    </row>
    <row r="9" spans="1:21" x14ac:dyDescent="0.25">
      <c r="E9" s="163" t="e">
        <f ca="1"/>
        <v>#NAME?</v>
      </c>
      <c r="K9" s="163" t="e">
        <f ca="1"/>
        <v>#NAME?</v>
      </c>
      <c r="M9" s="163" t="e">
        <f ca="1"/>
        <v>#NAME?</v>
      </c>
      <c r="S9" s="163" t="e">
        <f ca="1"/>
        <v>#NAME?</v>
      </c>
      <c r="U9" s="163" t="e">
        <f ca="1"/>
        <v>#NAME?</v>
      </c>
    </row>
    <row r="10" spans="1:21" x14ac:dyDescent="0.25">
      <c r="E10" s="163" t="e">
        <f ca="1"/>
        <v>#NAME?</v>
      </c>
      <c r="K10" s="163" t="e">
        <f ca="1"/>
        <v>#NAME?</v>
      </c>
      <c r="M10" s="163" t="e">
        <f ca="1"/>
        <v>#NAME?</v>
      </c>
      <c r="S10" s="155" t="e">
        <f ca="1"/>
        <v>#NAME?</v>
      </c>
      <c r="U10" s="155" t="e">
        <f ca="1"/>
        <v>#NAME?</v>
      </c>
    </row>
    <row r="11" spans="1:21" x14ac:dyDescent="0.25">
      <c r="E11" s="163" t="e">
        <f ca="1"/>
        <v>#NAME?</v>
      </c>
      <c r="K11" s="163" t="e">
        <f ca="1"/>
        <v>#NAME?</v>
      </c>
      <c r="M11" s="163" t="e">
        <f ca="1"/>
        <v>#NAME?</v>
      </c>
    </row>
    <row r="12" spans="1:21" x14ac:dyDescent="0.25">
      <c r="E12" s="163" t="e">
        <f ca="1"/>
        <v>#NAME?</v>
      </c>
      <c r="K12" s="163" t="e">
        <f ca="1"/>
        <v>#NAME?</v>
      </c>
      <c r="M12" s="163" t="e">
        <f ca="1"/>
        <v>#NAME?</v>
      </c>
    </row>
    <row r="13" spans="1:21" x14ac:dyDescent="0.25">
      <c r="E13" s="163" t="e">
        <f ca="1"/>
        <v>#NAME?</v>
      </c>
      <c r="K13" s="163" t="e">
        <f ca="1"/>
        <v>#NAME?</v>
      </c>
      <c r="M13" s="163" t="e">
        <f ca="1"/>
        <v>#NAME?</v>
      </c>
    </row>
    <row r="14" spans="1:21" x14ac:dyDescent="0.25">
      <c r="E14" s="163" t="e">
        <f ca="1"/>
        <v>#NAME?</v>
      </c>
      <c r="K14" s="163" t="e">
        <f ca="1"/>
        <v>#NAME?</v>
      </c>
      <c r="M14" s="163" t="e">
        <f ca="1"/>
        <v>#NAME?</v>
      </c>
    </row>
    <row r="15" spans="1:21" x14ac:dyDescent="0.25">
      <c r="E15" s="163" t="e">
        <f ca="1"/>
        <v>#NAME?</v>
      </c>
      <c r="K15" s="163" t="e">
        <f ca="1"/>
        <v>#NAME?</v>
      </c>
      <c r="M15" s="163" t="e">
        <f ca="1"/>
        <v>#NAME?</v>
      </c>
    </row>
    <row r="16" spans="1:21" x14ac:dyDescent="0.25">
      <c r="E16" s="155" t="e">
        <f ca="1"/>
        <v>#NAME?</v>
      </c>
      <c r="K16" s="155" t="e">
        <f ca="1"/>
        <v>#NAME?</v>
      </c>
      <c r="M16" s="155" t="e">
        <f ca="1"/>
        <v>#NAME?</v>
      </c>
    </row>
    <row r="19" spans="7:13" x14ac:dyDescent="0.25">
      <c r="G19" t="s">
        <v>994</v>
      </c>
      <c r="H19" s="315" t="e">
        <f ca="1">COUNTU(A5:C8)</f>
        <v>#NAME?</v>
      </c>
      <c r="M19" s="315" t="e">
        <f t="array" aca="1" ref="M19:M31" ca="1">NODUPES(K5:K16,,FALSE)</f>
        <v>#NAME?</v>
      </c>
    </row>
    <row r="20" spans="7:13" x14ac:dyDescent="0.25">
      <c r="G20" t="s">
        <v>995</v>
      </c>
      <c r="H20" s="155" t="e">
        <f ca="1">COUNTAU(A5:C8)</f>
        <v>#NAME?</v>
      </c>
      <c r="M20" s="163" t="e">
        <f ca="1"/>
        <v>#NAME?</v>
      </c>
    </row>
    <row r="21" spans="7:13" x14ac:dyDescent="0.25">
      <c r="M21" s="163" t="e">
        <f ca="1"/>
        <v>#NAME?</v>
      </c>
    </row>
    <row r="22" spans="7:13" x14ac:dyDescent="0.25">
      <c r="M22" s="163" t="e">
        <f ca="1"/>
        <v>#NAME?</v>
      </c>
    </row>
    <row r="23" spans="7:13" x14ac:dyDescent="0.25">
      <c r="M23" s="163" t="e">
        <f ca="1"/>
        <v>#NAME?</v>
      </c>
    </row>
    <row r="24" spans="7:13" x14ac:dyDescent="0.25">
      <c r="M24" s="163" t="e">
        <f ca="1"/>
        <v>#NAME?</v>
      </c>
    </row>
    <row r="25" spans="7:13" x14ac:dyDescent="0.25">
      <c r="M25" s="163" t="e">
        <f ca="1"/>
        <v>#NAME?</v>
      </c>
    </row>
    <row r="26" spans="7:13" x14ac:dyDescent="0.25">
      <c r="M26" s="163" t="e">
        <f ca="1"/>
        <v>#NAME?</v>
      </c>
    </row>
    <row r="27" spans="7:13" x14ac:dyDescent="0.25">
      <c r="M27" s="163" t="e">
        <f ca="1"/>
        <v>#NAME?</v>
      </c>
    </row>
    <row r="28" spans="7:13" x14ac:dyDescent="0.25">
      <c r="M28" s="163" t="e">
        <f ca="1"/>
        <v>#NAME?</v>
      </c>
    </row>
    <row r="29" spans="7:13" x14ac:dyDescent="0.25">
      <c r="M29" s="163" t="e">
        <f ca="1"/>
        <v>#NAME?</v>
      </c>
    </row>
    <row r="30" spans="7:13" x14ac:dyDescent="0.25">
      <c r="M30" s="163" t="e">
        <f ca="1"/>
        <v>#NAME?</v>
      </c>
    </row>
    <row r="31" spans="7:13" x14ac:dyDescent="0.25">
      <c r="M31" s="155" t="e">
        <f ca="1"/>
        <v>#NAME?</v>
      </c>
    </row>
  </sheetData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6"/>
  <dimension ref="A1:D13"/>
  <sheetViews>
    <sheetView workbookViewId="0"/>
  </sheetViews>
  <sheetFormatPr defaultRowHeight="15" x14ac:dyDescent="0.25"/>
  <cols>
    <col min="1" max="1" width="19" customWidth="1"/>
    <col min="2" max="2" width="12" customWidth="1"/>
    <col min="3" max="3" width="3.42578125" customWidth="1"/>
    <col min="4" max="4" width="29.42578125" customWidth="1"/>
  </cols>
  <sheetData>
    <row r="1" spans="1:4" x14ac:dyDescent="0.25">
      <c r="A1" s="1" t="s">
        <v>893</v>
      </c>
    </row>
    <row r="3" spans="1:4" x14ac:dyDescent="0.25">
      <c r="A3" t="s">
        <v>405</v>
      </c>
      <c r="B3">
        <f>'T Power 1'!G5</f>
        <v>52</v>
      </c>
    </row>
    <row r="4" spans="1:4" x14ac:dyDescent="0.25">
      <c r="A4" t="s">
        <v>406</v>
      </c>
      <c r="B4">
        <f>'T Power 1'!G8</f>
        <v>10.315318565194634</v>
      </c>
    </row>
    <row r="5" spans="1:4" x14ac:dyDescent="0.25">
      <c r="A5" t="s">
        <v>114</v>
      </c>
      <c r="B5">
        <f>'T Power 1'!G15</f>
        <v>0.05</v>
      </c>
    </row>
    <row r="6" spans="1:4" x14ac:dyDescent="0.25">
      <c r="A6" t="s">
        <v>404</v>
      </c>
      <c r="B6">
        <f>'T Power 1'!G6</f>
        <v>24</v>
      </c>
    </row>
    <row r="7" spans="1:4" x14ac:dyDescent="0.25">
      <c r="A7" t="s">
        <v>411</v>
      </c>
      <c r="B7">
        <f>B4/SQRT(B6)</f>
        <v>2.1056055849154292</v>
      </c>
      <c r="D7" s="22" t="s">
        <v>412</v>
      </c>
    </row>
    <row r="8" spans="1:4" x14ac:dyDescent="0.25">
      <c r="A8" t="s">
        <v>416</v>
      </c>
      <c r="B8">
        <f>TINV(2*B5,B6-1)</f>
        <v>1.7138715277470482</v>
      </c>
      <c r="D8" s="22" t="s">
        <v>1116</v>
      </c>
    </row>
    <row r="9" spans="1:4" x14ac:dyDescent="0.25">
      <c r="A9" t="s">
        <v>417</v>
      </c>
      <c r="B9">
        <f>B3+B8*B7</f>
        <v>55.608737460651724</v>
      </c>
      <c r="D9" s="22" t="s">
        <v>415</v>
      </c>
    </row>
    <row r="10" spans="1:4" x14ac:dyDescent="0.25">
      <c r="A10" t="s">
        <v>302</v>
      </c>
      <c r="B10">
        <f>(B11-B3)/B4</f>
        <v>0.11310040104851102</v>
      </c>
      <c r="D10" s="22" t="s">
        <v>418</v>
      </c>
    </row>
    <row r="11" spans="1:4" x14ac:dyDescent="0.25">
      <c r="A11" t="s">
        <v>407</v>
      </c>
      <c r="B11">
        <f>'T Power 1'!G7</f>
        <v>53.166666666666664</v>
      </c>
      <c r="D11" s="22"/>
    </row>
    <row r="12" spans="1:4" x14ac:dyDescent="0.25">
      <c r="A12" t="s">
        <v>408</v>
      </c>
      <c r="B12" t="e">
        <f ca="1">T_DIST((B9-B11)/B7,B6-1,TRUE)</f>
        <v>#NAME?</v>
      </c>
      <c r="D12" s="22" t="s">
        <v>1117</v>
      </c>
    </row>
    <row r="13" spans="1:4" x14ac:dyDescent="0.25">
      <c r="A13" t="s">
        <v>112</v>
      </c>
      <c r="B13" t="e">
        <f ca="1">1-B12</f>
        <v>#NAME?</v>
      </c>
      <c r="D13" s="22" t="s">
        <v>561</v>
      </c>
    </row>
  </sheetData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/>
  <dimension ref="A1:D13"/>
  <sheetViews>
    <sheetView workbookViewId="0"/>
  </sheetViews>
  <sheetFormatPr defaultRowHeight="15" x14ac:dyDescent="0.25"/>
  <cols>
    <col min="1" max="1" width="19" customWidth="1"/>
    <col min="2" max="2" width="12" customWidth="1"/>
    <col min="3" max="3" width="3.42578125" customWidth="1"/>
    <col min="4" max="4" width="29.42578125" customWidth="1"/>
  </cols>
  <sheetData>
    <row r="1" spans="1:4" x14ac:dyDescent="0.25">
      <c r="A1" s="1" t="s">
        <v>893</v>
      </c>
    </row>
    <row r="3" spans="1:4" x14ac:dyDescent="0.25">
      <c r="A3" t="s">
        <v>405</v>
      </c>
      <c r="B3">
        <f>'T Power 1'!G5</f>
        <v>52</v>
      </c>
    </row>
    <row r="4" spans="1:4" x14ac:dyDescent="0.25">
      <c r="A4" t="s">
        <v>406</v>
      </c>
      <c r="B4">
        <f>'T Power 1'!G8</f>
        <v>10.315318565194634</v>
      </c>
    </row>
    <row r="5" spans="1:4" x14ac:dyDescent="0.25">
      <c r="A5" t="s">
        <v>114</v>
      </c>
      <c r="B5">
        <f>'T Power 1'!G15</f>
        <v>0.05</v>
      </c>
    </row>
    <row r="6" spans="1:4" x14ac:dyDescent="0.25">
      <c r="A6" t="s">
        <v>404</v>
      </c>
      <c r="B6">
        <f>'T Power 1'!G6</f>
        <v>24</v>
      </c>
    </row>
    <row r="7" spans="1:4" x14ac:dyDescent="0.25">
      <c r="A7" t="s">
        <v>411</v>
      </c>
      <c r="B7">
        <f>B4/SQRT(B6)</f>
        <v>2.1056055849154292</v>
      </c>
      <c r="D7" s="22" t="s">
        <v>412</v>
      </c>
    </row>
    <row r="8" spans="1:4" x14ac:dyDescent="0.25">
      <c r="A8" t="s">
        <v>416</v>
      </c>
      <c r="B8">
        <f>TINV(2*B5,B6-1)</f>
        <v>1.7138715277470482</v>
      </c>
      <c r="D8" s="22" t="s">
        <v>1116</v>
      </c>
    </row>
    <row r="9" spans="1:4" x14ac:dyDescent="0.25">
      <c r="A9" t="s">
        <v>417</v>
      </c>
      <c r="B9">
        <f>B3+B8*B7</f>
        <v>55.608737460651724</v>
      </c>
      <c r="D9" s="22" t="s">
        <v>415</v>
      </c>
    </row>
    <row r="10" spans="1:4" x14ac:dyDescent="0.25">
      <c r="A10" t="s">
        <v>302</v>
      </c>
      <c r="B10">
        <v>0.2</v>
      </c>
      <c r="D10" s="22" t="s">
        <v>418</v>
      </c>
    </row>
    <row r="11" spans="1:4" x14ac:dyDescent="0.25">
      <c r="A11" t="s">
        <v>407</v>
      </c>
      <c r="B11">
        <f>B3+B10*B4</f>
        <v>54.063063713038929</v>
      </c>
      <c r="D11" s="22"/>
    </row>
    <row r="12" spans="1:4" x14ac:dyDescent="0.25">
      <c r="A12" t="s">
        <v>408</v>
      </c>
      <c r="B12" t="e">
        <f ca="1">T_DIST((B9-B11)/B7,B6-1,TRUE)</f>
        <v>#NAME?</v>
      </c>
      <c r="D12" s="22" t="s">
        <v>1117</v>
      </c>
    </row>
    <row r="13" spans="1:4" x14ac:dyDescent="0.25">
      <c r="A13" t="s">
        <v>112</v>
      </c>
      <c r="B13" t="e">
        <f ca="1">1-B12</f>
        <v>#NAME?</v>
      </c>
      <c r="D13" s="22" t="s">
        <v>561</v>
      </c>
    </row>
  </sheetData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0"/>
  <dimension ref="A1:D13"/>
  <sheetViews>
    <sheetView workbookViewId="0">
      <selection activeCell="Q22" sqref="Q22"/>
    </sheetView>
  </sheetViews>
  <sheetFormatPr defaultRowHeight="15" x14ac:dyDescent="0.25"/>
  <cols>
    <col min="1" max="1" width="19" customWidth="1"/>
    <col min="2" max="2" width="12" customWidth="1"/>
    <col min="3" max="3" width="3.42578125" customWidth="1"/>
    <col min="4" max="4" width="29.42578125" customWidth="1"/>
  </cols>
  <sheetData>
    <row r="1" spans="1:4" x14ac:dyDescent="0.25">
      <c r="A1" s="1" t="s">
        <v>893</v>
      </c>
    </row>
    <row r="3" spans="1:4" x14ac:dyDescent="0.25">
      <c r="A3" t="s">
        <v>405</v>
      </c>
      <c r="B3">
        <f>'T Power 1'!G5</f>
        <v>52</v>
      </c>
    </row>
    <row r="4" spans="1:4" x14ac:dyDescent="0.25">
      <c r="A4" t="s">
        <v>406</v>
      </c>
      <c r="B4">
        <f>'T Power 1'!G8</f>
        <v>10.315318565194634</v>
      </c>
    </row>
    <row r="5" spans="1:4" x14ac:dyDescent="0.25">
      <c r="A5" t="s">
        <v>114</v>
      </c>
      <c r="B5">
        <f>'T Power 1'!G15</f>
        <v>0.05</v>
      </c>
    </row>
    <row r="6" spans="1:4" x14ac:dyDescent="0.25">
      <c r="A6" t="s">
        <v>404</v>
      </c>
      <c r="B6">
        <f>'T Power 1'!G6</f>
        <v>24</v>
      </c>
    </row>
    <row r="7" spans="1:4" x14ac:dyDescent="0.25">
      <c r="A7" t="s">
        <v>411</v>
      </c>
      <c r="B7">
        <f>B4/SQRT(B6)</f>
        <v>2.1056055849154292</v>
      </c>
      <c r="D7" s="22" t="s">
        <v>412</v>
      </c>
    </row>
    <row r="8" spans="1:4" x14ac:dyDescent="0.25">
      <c r="A8" t="s">
        <v>416</v>
      </c>
      <c r="B8">
        <f>TINV(2*B5,B6-1)</f>
        <v>1.7138715277470482</v>
      </c>
      <c r="D8" s="22" t="s">
        <v>1116</v>
      </c>
    </row>
    <row r="9" spans="1:4" x14ac:dyDescent="0.25">
      <c r="A9" t="s">
        <v>417</v>
      </c>
      <c r="B9">
        <f>B3+B8*B7</f>
        <v>55.608737460651724</v>
      </c>
      <c r="D9" s="22" t="s">
        <v>415</v>
      </c>
    </row>
    <row r="10" spans="1:4" x14ac:dyDescent="0.25">
      <c r="A10" t="s">
        <v>302</v>
      </c>
      <c r="B10">
        <v>0.52484634018566534</v>
      </c>
      <c r="D10" s="22" t="s">
        <v>418</v>
      </c>
    </row>
    <row r="11" spans="1:4" x14ac:dyDescent="0.25">
      <c r="A11" t="s">
        <v>407</v>
      </c>
      <c r="B11">
        <f>B3+B10*B4</f>
        <v>57.41395719679165</v>
      </c>
      <c r="D11" s="22"/>
    </row>
    <row r="12" spans="1:4" x14ac:dyDescent="0.25">
      <c r="A12" t="s">
        <v>408</v>
      </c>
      <c r="B12" t="e">
        <f ca="1">T_DIST((B9-B11)/B7,B6-1,TRUE)</f>
        <v>#NAME?</v>
      </c>
      <c r="D12" s="22" t="s">
        <v>1117</v>
      </c>
    </row>
    <row r="13" spans="1:4" x14ac:dyDescent="0.25">
      <c r="A13" t="s">
        <v>112</v>
      </c>
      <c r="B13" t="e">
        <f ca="1">1-B12</f>
        <v>#NAME?</v>
      </c>
      <c r="D13" s="22" t="s">
        <v>561</v>
      </c>
    </row>
  </sheetData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1"/>
  <dimension ref="A1:D13"/>
  <sheetViews>
    <sheetView workbookViewId="0"/>
  </sheetViews>
  <sheetFormatPr defaultRowHeight="15" x14ac:dyDescent="0.25"/>
  <cols>
    <col min="1" max="1" width="19" customWidth="1"/>
    <col min="2" max="2" width="12" customWidth="1"/>
    <col min="3" max="3" width="3.42578125" customWidth="1"/>
    <col min="4" max="4" width="29.42578125" customWidth="1"/>
  </cols>
  <sheetData>
    <row r="1" spans="1:4" x14ac:dyDescent="0.25">
      <c r="A1" s="1" t="s">
        <v>893</v>
      </c>
    </row>
    <row r="3" spans="1:4" x14ac:dyDescent="0.25">
      <c r="A3" t="s">
        <v>405</v>
      </c>
      <c r="B3">
        <f>'T Power 1'!G5</f>
        <v>52</v>
      </c>
    </row>
    <row r="4" spans="1:4" x14ac:dyDescent="0.25">
      <c r="A4" t="s">
        <v>406</v>
      </c>
      <c r="B4">
        <f>'T Power 1'!G8</f>
        <v>10.315318565194634</v>
      </c>
    </row>
    <row r="5" spans="1:4" x14ac:dyDescent="0.25">
      <c r="A5" t="s">
        <v>114</v>
      </c>
      <c r="B5">
        <f>'T Power 1'!G15</f>
        <v>0.05</v>
      </c>
    </row>
    <row r="6" spans="1:4" x14ac:dyDescent="0.25">
      <c r="A6" t="s">
        <v>404</v>
      </c>
      <c r="B6">
        <v>155.65554234428913</v>
      </c>
    </row>
    <row r="7" spans="1:4" x14ac:dyDescent="0.25">
      <c r="A7" t="s">
        <v>411</v>
      </c>
      <c r="B7">
        <f>B4/SQRT(B6)</f>
        <v>0.82679977586187914</v>
      </c>
      <c r="D7" s="22" t="e">
        <f ca="1">FTEXT(B7)</f>
        <v>#NAME?</v>
      </c>
    </row>
    <row r="8" spans="1:4" x14ac:dyDescent="0.25">
      <c r="A8" t="s">
        <v>416</v>
      </c>
      <c r="B8">
        <f>TINV(2*B5,B6-1)</f>
        <v>1.6548083854766809</v>
      </c>
      <c r="D8" s="22" t="s">
        <v>1116</v>
      </c>
    </row>
    <row r="9" spans="1:4" x14ac:dyDescent="0.25">
      <c r="A9" t="s">
        <v>417</v>
      </c>
      <c r="B9">
        <f>B3+B8*B7</f>
        <v>53.368195202206479</v>
      </c>
      <c r="D9" s="22" t="s">
        <v>415</v>
      </c>
    </row>
    <row r="10" spans="1:4" x14ac:dyDescent="0.25">
      <c r="A10" t="s">
        <v>302</v>
      </c>
      <c r="B10">
        <v>0.2</v>
      </c>
      <c r="D10" s="22"/>
    </row>
    <row r="11" spans="1:4" x14ac:dyDescent="0.25">
      <c r="A11" t="s">
        <v>407</v>
      </c>
      <c r="B11">
        <f>B3+B10*B4</f>
        <v>54.063063713038929</v>
      </c>
      <c r="D11" s="22" t="e">
        <f ca="1">FTEXT(B11)</f>
        <v>#NAME?</v>
      </c>
    </row>
    <row r="12" spans="1:4" x14ac:dyDescent="0.25">
      <c r="A12" t="s">
        <v>408</v>
      </c>
      <c r="B12" t="e">
        <f ca="1">T_DIST((B9-B11)/B7,B6-1,TRUE)</f>
        <v>#NAME?</v>
      </c>
      <c r="D12" s="22" t="e">
        <f ca="1">FTEXT(B12)</f>
        <v>#NAME?</v>
      </c>
    </row>
    <row r="13" spans="1:4" x14ac:dyDescent="0.25">
      <c r="A13" t="s">
        <v>112</v>
      </c>
      <c r="B13" t="e">
        <f ca="1">1-B12</f>
        <v>#NAME?</v>
      </c>
      <c r="D13" s="22" t="s">
        <v>561</v>
      </c>
    </row>
  </sheetData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9"/>
  <dimension ref="A1:N32"/>
  <sheetViews>
    <sheetView workbookViewId="0"/>
  </sheetViews>
  <sheetFormatPr defaultRowHeight="15" x14ac:dyDescent="0.25"/>
  <cols>
    <col min="1" max="4" width="5.5703125" customWidth="1"/>
    <col min="5" max="5" width="6.28515625" customWidth="1"/>
    <col min="6" max="6" width="13.42578125" customWidth="1"/>
    <col min="7" max="7" width="9.140625" customWidth="1"/>
    <col min="8" max="8" width="2.140625" customWidth="1"/>
    <col min="9" max="9" width="22.7109375" customWidth="1"/>
    <col min="10" max="10" width="4.28515625" customWidth="1"/>
    <col min="11" max="11" width="13.42578125" customWidth="1"/>
    <col min="13" max="13" width="1.85546875" customWidth="1"/>
    <col min="14" max="14" width="20.7109375" customWidth="1"/>
  </cols>
  <sheetData>
    <row r="1" spans="1:14" x14ac:dyDescent="0.25">
      <c r="A1" s="1" t="s">
        <v>891</v>
      </c>
    </row>
    <row r="3" spans="1:14" x14ac:dyDescent="0.25">
      <c r="A3" s="1" t="s">
        <v>187</v>
      </c>
      <c r="F3" s="339" t="s">
        <v>870</v>
      </c>
      <c r="G3" s="328"/>
      <c r="K3" s="1" t="s">
        <v>397</v>
      </c>
    </row>
    <row r="4" spans="1:14" x14ac:dyDescent="0.25">
      <c r="J4" s="53"/>
    </row>
    <row r="5" spans="1:14" x14ac:dyDescent="0.25">
      <c r="A5" s="331">
        <v>45</v>
      </c>
      <c r="B5" s="332">
        <v>58</v>
      </c>
      <c r="C5" s="332">
        <v>72</v>
      </c>
      <c r="D5" s="333">
        <v>52</v>
      </c>
      <c r="F5" t="s">
        <v>871</v>
      </c>
      <c r="G5" s="315">
        <v>52</v>
      </c>
      <c r="I5" s="53"/>
      <c r="K5" t="s">
        <v>883</v>
      </c>
      <c r="L5" s="315">
        <f>TINV(G15,G12)</f>
        <v>2.0686576104190491</v>
      </c>
      <c r="N5" s="22" t="s">
        <v>1122</v>
      </c>
    </row>
    <row r="6" spans="1:14" x14ac:dyDescent="0.25">
      <c r="A6" s="334">
        <v>56</v>
      </c>
      <c r="B6" s="63">
        <v>49</v>
      </c>
      <c r="C6" s="63">
        <v>48</v>
      </c>
      <c r="D6" s="335">
        <v>67</v>
      </c>
      <c r="F6" t="s">
        <v>396</v>
      </c>
      <c r="G6" s="163">
        <f>COUNT(A5:D10)</f>
        <v>24</v>
      </c>
      <c r="I6" s="22" t="s">
        <v>873</v>
      </c>
      <c r="K6" t="s">
        <v>884</v>
      </c>
      <c r="L6" s="163">
        <f>G5+L5*G11</f>
        <v>56.355777017776155</v>
      </c>
      <c r="N6" s="22" t="s">
        <v>899</v>
      </c>
    </row>
    <row r="7" spans="1:14" x14ac:dyDescent="0.25">
      <c r="A7" s="334">
        <v>71</v>
      </c>
      <c r="B7" s="63">
        <v>52</v>
      </c>
      <c r="C7" s="63">
        <v>62</v>
      </c>
      <c r="D7" s="335">
        <v>56</v>
      </c>
      <c r="F7" s="328" t="s">
        <v>403</v>
      </c>
      <c r="G7" s="329">
        <f>AVERAGE(A5:D10)</f>
        <v>53.166666666666664</v>
      </c>
      <c r="I7" t="s">
        <v>874</v>
      </c>
      <c r="K7" t="s">
        <v>885</v>
      </c>
      <c r="L7" s="163">
        <f>-L5</f>
        <v>-2.0686576104190491</v>
      </c>
      <c r="N7" s="22" t="s">
        <v>900</v>
      </c>
    </row>
    <row r="8" spans="1:14" x14ac:dyDescent="0.25">
      <c r="A8" s="334">
        <v>38</v>
      </c>
      <c r="B8" s="63">
        <v>39</v>
      </c>
      <c r="C8" s="63">
        <v>54</v>
      </c>
      <c r="D8" s="335">
        <v>52</v>
      </c>
      <c r="F8" t="s">
        <v>199</v>
      </c>
      <c r="G8" s="163">
        <f>STDEV(A5:D10)</f>
        <v>10.315318565194634</v>
      </c>
      <c r="I8" s="22" t="s">
        <v>1118</v>
      </c>
      <c r="K8" t="s">
        <v>886</v>
      </c>
      <c r="L8" s="163">
        <f>G5+L7*G11</f>
        <v>47.644222982223845</v>
      </c>
      <c r="N8" s="22" t="s">
        <v>901</v>
      </c>
    </row>
    <row r="9" spans="1:14" x14ac:dyDescent="0.25">
      <c r="A9" s="334">
        <v>61</v>
      </c>
      <c r="B9" s="63">
        <v>42</v>
      </c>
      <c r="C9" s="63">
        <v>45</v>
      </c>
      <c r="D9" s="335">
        <v>46</v>
      </c>
      <c r="F9" t="s">
        <v>564</v>
      </c>
      <c r="G9" s="163">
        <f>ABS(G5-G7)/G8</f>
        <v>0.11310040104851102</v>
      </c>
      <c r="I9" t="s">
        <v>875</v>
      </c>
      <c r="K9" s="328" t="s">
        <v>872</v>
      </c>
      <c r="L9" s="329">
        <f>G7</f>
        <v>53.166666666666664</v>
      </c>
      <c r="N9" s="22" t="s">
        <v>880</v>
      </c>
    </row>
    <row r="10" spans="1:14" x14ac:dyDescent="0.25">
      <c r="A10" s="336">
        <v>51</v>
      </c>
      <c r="B10" s="337">
        <v>34</v>
      </c>
      <c r="C10" s="337">
        <v>58</v>
      </c>
      <c r="D10" s="338">
        <v>68</v>
      </c>
      <c r="F10" t="s">
        <v>394</v>
      </c>
      <c r="G10" s="163">
        <v>2</v>
      </c>
      <c r="K10" s="27" t="s">
        <v>887</v>
      </c>
      <c r="L10" s="329">
        <f>(L6-L9)/G11</f>
        <v>1.5145810658730658</v>
      </c>
      <c r="N10" s="22" t="s">
        <v>902</v>
      </c>
    </row>
    <row r="11" spans="1:14" x14ac:dyDescent="0.25">
      <c r="A11" s="63"/>
      <c r="B11" s="63"/>
      <c r="C11" s="63"/>
      <c r="D11" s="63"/>
      <c r="E11" s="63"/>
      <c r="F11" t="s">
        <v>358</v>
      </c>
      <c r="G11" s="163">
        <f>G8/SQRT(G6)</f>
        <v>2.1056055849154292</v>
      </c>
      <c r="I11" t="s">
        <v>876</v>
      </c>
      <c r="K11" s="27" t="s">
        <v>888</v>
      </c>
      <c r="L11" s="163">
        <f>(L8-L9)/G11</f>
        <v>-2.6227341549650318</v>
      </c>
      <c r="N11" s="22" t="s">
        <v>903</v>
      </c>
    </row>
    <row r="12" spans="1:14" x14ac:dyDescent="0.25">
      <c r="A12" s="63"/>
      <c r="B12" s="63"/>
      <c r="C12" s="63"/>
      <c r="D12" s="63"/>
      <c r="E12" s="63"/>
      <c r="F12" t="s">
        <v>168</v>
      </c>
      <c r="G12" s="163">
        <f>G6-1</f>
        <v>23</v>
      </c>
      <c r="I12" t="s">
        <v>877</v>
      </c>
      <c r="K12" s="27" t="s">
        <v>889</v>
      </c>
      <c r="L12" s="163" t="e">
        <f ca="1">T_DIST(L10,G12,TRUE)</f>
        <v>#NAME?</v>
      </c>
      <c r="N12" s="22" t="s">
        <v>1120</v>
      </c>
    </row>
    <row r="13" spans="1:14" x14ac:dyDescent="0.25">
      <c r="A13" s="63"/>
      <c r="B13" s="63"/>
      <c r="C13" s="63"/>
      <c r="D13" s="63"/>
      <c r="E13" s="63"/>
      <c r="F13" t="s">
        <v>243</v>
      </c>
      <c r="G13" s="163">
        <f>ABS(G7-G5)/G11</f>
        <v>0.55407654454598299</v>
      </c>
      <c r="I13" t="s">
        <v>878</v>
      </c>
      <c r="K13" s="27" t="s">
        <v>890</v>
      </c>
      <c r="L13" s="163" t="e">
        <f ca="1">T_DIST(L11,G12,TRUE)</f>
        <v>#NAME?</v>
      </c>
      <c r="N13" s="22" t="s">
        <v>1121</v>
      </c>
    </row>
    <row r="14" spans="1:14" x14ac:dyDescent="0.25">
      <c r="A14" s="63"/>
      <c r="B14" s="63"/>
      <c r="C14" s="63"/>
      <c r="D14" s="63"/>
      <c r="E14" s="63"/>
      <c r="F14" t="s">
        <v>182</v>
      </c>
      <c r="G14" s="163">
        <f>TDIST(G13,G12,G10)</f>
        <v>0.58487395481480797</v>
      </c>
      <c r="I14" s="22" t="s">
        <v>1119</v>
      </c>
      <c r="K14" s="27" t="s">
        <v>398</v>
      </c>
      <c r="L14" s="329" t="e">
        <f ca="1">L12-L13</f>
        <v>#NAME?</v>
      </c>
      <c r="N14" s="22" t="s">
        <v>904</v>
      </c>
    </row>
    <row r="15" spans="1:14" x14ac:dyDescent="0.25">
      <c r="C15" s="63"/>
      <c r="D15" s="63"/>
      <c r="F15" t="s">
        <v>262</v>
      </c>
      <c r="G15" s="163">
        <v>0.05</v>
      </c>
      <c r="K15" s="27" t="s">
        <v>397</v>
      </c>
      <c r="L15" s="330" t="e">
        <f ca="1">1-L14</f>
        <v>#NAME?</v>
      </c>
      <c r="N15" s="22" t="s">
        <v>905</v>
      </c>
    </row>
    <row r="16" spans="1:14" x14ac:dyDescent="0.25">
      <c r="F16" t="s">
        <v>381</v>
      </c>
      <c r="G16" s="152" t="str">
        <f>IF(G14&lt;G15,"yes","no")</f>
        <v>no</v>
      </c>
      <c r="I16" t="s">
        <v>879</v>
      </c>
    </row>
    <row r="31" spans="7:7" x14ac:dyDescent="0.25">
      <c r="G31" s="328"/>
    </row>
    <row r="32" spans="7:7" x14ac:dyDescent="0.25">
      <c r="G32" s="328"/>
    </row>
  </sheetData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AG31"/>
  <sheetViews>
    <sheetView workbookViewId="0"/>
  </sheetViews>
  <sheetFormatPr defaultRowHeight="15" x14ac:dyDescent="0.25"/>
  <cols>
    <col min="3" max="3" width="8.140625" customWidth="1"/>
    <col min="11" max="11" width="10.42578125" customWidth="1"/>
    <col min="15" max="15" width="18.28515625" customWidth="1"/>
    <col min="32" max="32" width="3.7109375" customWidth="1"/>
    <col min="33" max="33" width="36.140625" customWidth="1"/>
  </cols>
  <sheetData>
    <row r="1" spans="1:33" x14ac:dyDescent="0.25">
      <c r="A1" s="1" t="s">
        <v>196</v>
      </c>
    </row>
    <row r="3" spans="1:33" x14ac:dyDescent="0.25">
      <c r="A3" s="115" t="s">
        <v>197</v>
      </c>
      <c r="B3" s="115" t="s">
        <v>198</v>
      </c>
      <c r="K3" t="s">
        <v>699</v>
      </c>
      <c r="O3" t="s">
        <v>201</v>
      </c>
      <c r="T3" t="s">
        <v>200</v>
      </c>
      <c r="AE3" t="s">
        <v>1650</v>
      </c>
    </row>
    <row r="4" spans="1:33" ht="15.75" thickBot="1" x14ac:dyDescent="0.3">
      <c r="A4" s="113">
        <v>13</v>
      </c>
      <c r="B4" s="113">
        <v>12</v>
      </c>
    </row>
    <row r="5" spans="1:33" ht="15.75" thickBot="1" x14ac:dyDescent="0.3">
      <c r="A5" s="576">
        <v>17</v>
      </c>
      <c r="B5" s="576">
        <v>8</v>
      </c>
      <c r="L5" s="126" t="str">
        <f>A3</f>
        <v>New</v>
      </c>
      <c r="M5" s="126" t="str">
        <f>B3</f>
        <v>Old</v>
      </c>
      <c r="O5" s="391"/>
      <c r="P5" s="391" t="s">
        <v>197</v>
      </c>
      <c r="Q5" s="391" t="s">
        <v>198</v>
      </c>
      <c r="T5" t="s">
        <v>176</v>
      </c>
      <c r="W5" t="s">
        <v>202</v>
      </c>
      <c r="X5">
        <v>0</v>
      </c>
      <c r="AE5" s="486">
        <f>TTEST(A4:A14,B4:B14,2,3)</f>
        <v>4.2977447702173807E-2</v>
      </c>
      <c r="AG5" t="e">
        <f ca="1">FTEXT(AE5)</f>
        <v>#NAME?</v>
      </c>
    </row>
    <row r="6" spans="1:33" ht="15.75" thickTop="1" x14ac:dyDescent="0.25">
      <c r="A6" s="576">
        <v>19</v>
      </c>
      <c r="B6" s="576">
        <v>6</v>
      </c>
      <c r="K6" t="s">
        <v>142</v>
      </c>
      <c r="L6" s="529">
        <f>L13-$L20</f>
        <v>9</v>
      </c>
      <c r="M6" s="531">
        <f>M13-$L20</f>
        <v>4</v>
      </c>
      <c r="O6" s="27" t="s">
        <v>75</v>
      </c>
      <c r="P6" s="27">
        <v>14.909090909090908</v>
      </c>
      <c r="Q6" s="27">
        <v>11.1</v>
      </c>
      <c r="T6" s="291" t="s">
        <v>203</v>
      </c>
      <c r="U6" s="291" t="s">
        <v>87</v>
      </c>
      <c r="V6" s="291" t="s">
        <v>75</v>
      </c>
      <c r="W6" s="291" t="s">
        <v>204</v>
      </c>
      <c r="X6" s="291" t="s">
        <v>178</v>
      </c>
      <c r="AE6" s="155">
        <f>TTEST(A4:A14,B4:B14,2,2)</f>
        <v>4.0219171898502742E-2</v>
      </c>
      <c r="AG6" t="e">
        <f ca="1">FTEXT(AE6)</f>
        <v>#NAME?</v>
      </c>
    </row>
    <row r="7" spans="1:33" x14ac:dyDescent="0.25">
      <c r="A7" s="576">
        <v>10</v>
      </c>
      <c r="B7" s="576">
        <v>16</v>
      </c>
      <c r="K7" t="s">
        <v>143</v>
      </c>
      <c r="L7" s="162">
        <f>L14-L13</f>
        <v>3.5</v>
      </c>
      <c r="M7" s="102">
        <f>M14-M13</f>
        <v>4.5</v>
      </c>
      <c r="O7" s="27" t="s">
        <v>204</v>
      </c>
      <c r="P7" s="27">
        <v>12.8909090909091</v>
      </c>
      <c r="Q7" s="27">
        <v>18.766666666666676</v>
      </c>
      <c r="T7" t="str">
        <f>A3</f>
        <v>New</v>
      </c>
      <c r="U7">
        <f>COUNT(A4:A14)</f>
        <v>11</v>
      </c>
      <c r="V7">
        <f>AVERAGE(A4:A14)</f>
        <v>14.909090909090908</v>
      </c>
      <c r="W7">
        <f>VAR(A4:A14)</f>
        <v>12.8909090909091</v>
      </c>
    </row>
    <row r="8" spans="1:33" x14ac:dyDescent="0.25">
      <c r="A8" s="576">
        <v>20</v>
      </c>
      <c r="B8" s="576">
        <v>12</v>
      </c>
      <c r="K8" t="s">
        <v>144</v>
      </c>
      <c r="L8" s="162">
        <f t="shared" ref="L8:M10" si="0">L15-L14</f>
        <v>2.5</v>
      </c>
      <c r="M8" s="102">
        <f t="shared" si="0"/>
        <v>3</v>
      </c>
      <c r="O8" s="27" t="s">
        <v>205</v>
      </c>
      <c r="P8" s="27">
        <v>11</v>
      </c>
      <c r="Q8" s="27">
        <v>10</v>
      </c>
      <c r="T8" t="str">
        <f>B3</f>
        <v>Old</v>
      </c>
      <c r="U8">
        <f>COUNT(B4:B13)</f>
        <v>10</v>
      </c>
      <c r="V8">
        <f>AVERAGE(B4:B13)</f>
        <v>11.1</v>
      </c>
      <c r="W8">
        <f>VAR(B4:B13)</f>
        <v>18.766666666666676</v>
      </c>
      <c r="AE8" t="s">
        <v>825</v>
      </c>
    </row>
    <row r="9" spans="1:33" x14ac:dyDescent="0.25">
      <c r="A9" s="576">
        <v>15</v>
      </c>
      <c r="B9" s="576">
        <v>14</v>
      </c>
      <c r="K9" t="s">
        <v>145</v>
      </c>
      <c r="L9" s="162">
        <f t="shared" si="0"/>
        <v>2.5</v>
      </c>
      <c r="M9" s="102">
        <f t="shared" si="0"/>
        <v>2</v>
      </c>
      <c r="O9" s="27" t="s">
        <v>207</v>
      </c>
      <c r="P9" s="27">
        <v>15.674162679425846</v>
      </c>
      <c r="Q9" s="27"/>
      <c r="T9" s="314" t="s">
        <v>206</v>
      </c>
      <c r="U9" s="314"/>
      <c r="V9" s="314"/>
      <c r="W9" s="314">
        <f>((U7-1)*W7+(U8-1)*W8)/(U7+U8-2)</f>
        <v>15.674162679425846</v>
      </c>
      <c r="X9" s="314">
        <f>ABS(V7-V8-X5)/SQRT(W9)</f>
        <v>0.96211982330182055</v>
      </c>
    </row>
    <row r="10" spans="1:33" x14ac:dyDescent="0.25">
      <c r="A10" s="576">
        <v>18</v>
      </c>
      <c r="B10" s="576">
        <v>10</v>
      </c>
      <c r="K10" t="s">
        <v>146</v>
      </c>
      <c r="L10" s="162">
        <f t="shared" si="0"/>
        <v>2.5</v>
      </c>
      <c r="M10" s="102">
        <f t="shared" si="0"/>
        <v>4.5</v>
      </c>
      <c r="O10" s="27" t="s">
        <v>208</v>
      </c>
      <c r="P10" s="27">
        <v>0</v>
      </c>
      <c r="Q10" s="27"/>
      <c r="AE10" s="486" t="e">
        <f ca="1">VAR_POOLED(A4:A14,B4:B14)</f>
        <v>#NAME?</v>
      </c>
      <c r="AG10" t="e">
        <f ca="1">FTEXT(AE10)</f>
        <v>#NAME?</v>
      </c>
    </row>
    <row r="11" spans="1:33" ht="15.75" thickBot="1" x14ac:dyDescent="0.3">
      <c r="A11" s="576">
        <v>9</v>
      </c>
      <c r="B11" s="576">
        <v>18</v>
      </c>
      <c r="K11" t="s">
        <v>75</v>
      </c>
      <c r="L11" s="273">
        <f>L18-$L20</f>
        <v>14.909090909090908</v>
      </c>
      <c r="M11" s="275">
        <f>M18-$L20</f>
        <v>11.1</v>
      </c>
      <c r="O11" s="27" t="s">
        <v>168</v>
      </c>
      <c r="P11" s="27">
        <v>19</v>
      </c>
      <c r="Q11" s="27"/>
      <c r="T11" t="s">
        <v>209</v>
      </c>
      <c r="X11" t="s">
        <v>114</v>
      </c>
      <c r="Y11">
        <v>0.05</v>
      </c>
      <c r="AE11" s="163" t="e">
        <f ca="1">stdev_pooled(A4:A14,B4:B14)</f>
        <v>#NAME?</v>
      </c>
      <c r="AG11" t="e">
        <f ca="1">FTEXT(AE11)</f>
        <v>#NAME?</v>
      </c>
    </row>
    <row r="12" spans="1:33" ht="15.75" thickTop="1" x14ac:dyDescent="0.25">
      <c r="A12" s="576">
        <v>12</v>
      </c>
      <c r="B12" s="576">
        <v>4</v>
      </c>
      <c r="O12" s="27" t="s">
        <v>210</v>
      </c>
      <c r="P12" s="27">
        <v>2.2019926147419069</v>
      </c>
      <c r="Q12" s="27"/>
      <c r="T12" s="291" t="s">
        <v>181</v>
      </c>
      <c r="U12" s="291" t="s">
        <v>424</v>
      </c>
      <c r="V12" s="291" t="s">
        <v>243</v>
      </c>
      <c r="W12" s="291" t="s">
        <v>168</v>
      </c>
      <c r="X12" s="291" t="s">
        <v>182</v>
      </c>
      <c r="Y12" s="291" t="s">
        <v>183</v>
      </c>
      <c r="Z12" s="291" t="s">
        <v>102</v>
      </c>
      <c r="AA12" s="291" t="s">
        <v>103</v>
      </c>
      <c r="AB12" s="291" t="s">
        <v>381</v>
      </c>
      <c r="AC12" s="291" t="s">
        <v>425</v>
      </c>
      <c r="AE12" s="163" t="e">
        <f ca="1">STDERR_POOLED(A4:A14,B4:B13)</f>
        <v>#NAME?</v>
      </c>
      <c r="AG12" t="e">
        <f ca="1">FTEXT(AE12)</f>
        <v>#NAME?</v>
      </c>
    </row>
    <row r="13" spans="1:33" x14ac:dyDescent="0.25">
      <c r="A13" s="576">
        <v>15</v>
      </c>
      <c r="B13" s="576">
        <v>11</v>
      </c>
      <c r="K13" t="s">
        <v>142</v>
      </c>
      <c r="L13" s="529">
        <f t="array" ref="L13">MIN(IF(A4:A14&gt;=L14-3*(L16-L14)/2,A4:A14,""))</f>
        <v>9</v>
      </c>
      <c r="M13" s="531">
        <f t="array" ref="M13">MIN(IF(B4:B14&gt;=M14-3*(M16-M14)/2,B4:B14,""))</f>
        <v>4</v>
      </c>
      <c r="O13" s="27" t="s">
        <v>211</v>
      </c>
      <c r="P13" s="27">
        <v>2.0109585949251368E-2</v>
      </c>
      <c r="Q13" s="27"/>
      <c r="T13" t="s">
        <v>185</v>
      </c>
      <c r="U13">
        <f>SQRT(W9*(1/U7+1/U8))</f>
        <v>1.7298381854642904</v>
      </c>
      <c r="V13">
        <f>(ABS(V7-V8-X5))/U13</f>
        <v>2.2019926147419069</v>
      </c>
      <c r="W13">
        <f>U7+U8-2</f>
        <v>19</v>
      </c>
      <c r="X13">
        <f>TDIST(V13,W13,1)</f>
        <v>2.0109585949251368E-2</v>
      </c>
      <c r="Y13">
        <f>TINV(Y11*2,W13)</f>
        <v>1.7291328115213698</v>
      </c>
      <c r="AB13" s="575" t="str">
        <f>IF(X13&lt;Y11,"yes","no")</f>
        <v>yes</v>
      </c>
      <c r="AC13">
        <f>SQRT(V13^2/(V13^2+W13))</f>
        <v>0.45090271676761834</v>
      </c>
      <c r="AE13" s="155" t="e">
        <f ca="1">STDERR_POOLED(A4:A14,B4:B13,FALSE)</f>
        <v>#NAME?</v>
      </c>
      <c r="AG13" t="e">
        <f ca="1">FTEXT(AE13)</f>
        <v>#NAME?</v>
      </c>
    </row>
    <row r="14" spans="1:33" x14ac:dyDescent="0.25">
      <c r="A14" s="114">
        <v>16</v>
      </c>
      <c r="B14" s="114"/>
      <c r="K14" t="s">
        <v>148</v>
      </c>
      <c r="L14" s="162">
        <f>QUARTILE(A4:A14,1)</f>
        <v>12.5</v>
      </c>
      <c r="M14" s="102">
        <f>QUARTILE(B4:B14,1)</f>
        <v>8.5</v>
      </c>
      <c r="O14" s="27" t="s">
        <v>212</v>
      </c>
      <c r="P14" s="27">
        <v>1.7291328115213698</v>
      </c>
      <c r="Q14" s="27"/>
      <c r="T14" t="s">
        <v>186</v>
      </c>
      <c r="U14">
        <f>U13</f>
        <v>1.7298381854642904</v>
      </c>
      <c r="V14">
        <f>V13</f>
        <v>2.2019926147419069</v>
      </c>
      <c r="W14">
        <f>W13</f>
        <v>19</v>
      </c>
      <c r="X14">
        <f>TDIST(V14,W14,2)</f>
        <v>4.0219171898502735E-2</v>
      </c>
      <c r="Y14">
        <f>TINV(Y11,W14)</f>
        <v>2.0930240544083096</v>
      </c>
      <c r="Z14">
        <f>(V7-V8)-Y14*U14</f>
        <v>0.18849797668012602</v>
      </c>
      <c r="AA14">
        <f>(V7-V8)+Y14*U14</f>
        <v>7.4296838415016913</v>
      </c>
      <c r="AB14" s="575" t="str">
        <f>IF(X14&lt;Y11,"yes","no")</f>
        <v>yes</v>
      </c>
      <c r="AC14">
        <f>AC13</f>
        <v>0.45090271676761834</v>
      </c>
    </row>
    <row r="15" spans="1:33" x14ac:dyDescent="0.25">
      <c r="A15" s="575"/>
      <c r="B15" s="575"/>
      <c r="K15" t="s">
        <v>77</v>
      </c>
      <c r="L15" s="162">
        <f>MEDIAN(A4:A14)</f>
        <v>15</v>
      </c>
      <c r="M15" s="102">
        <f>MEDIAN(B4:B14)</f>
        <v>11.5</v>
      </c>
      <c r="O15" s="27" t="s">
        <v>213</v>
      </c>
      <c r="P15" s="27">
        <v>4.0219171898502735E-2</v>
      </c>
      <c r="Q15" s="27"/>
      <c r="T15" s="314"/>
      <c r="U15" s="314"/>
      <c r="V15" s="314"/>
      <c r="W15" s="314"/>
      <c r="X15" s="314"/>
      <c r="Y15" s="314"/>
      <c r="Z15" s="314"/>
      <c r="AA15" s="314"/>
      <c r="AB15" s="314"/>
      <c r="AC15" s="314"/>
    </row>
    <row r="16" spans="1:33" ht="15.75" thickBot="1" x14ac:dyDescent="0.3">
      <c r="A16" s="575">
        <f>COUNT(A4:A14)</f>
        <v>11</v>
      </c>
      <c r="B16" s="575">
        <f>COUNT(B4:B14)</f>
        <v>10</v>
      </c>
      <c r="C16" t="s">
        <v>64</v>
      </c>
      <c r="K16" t="s">
        <v>421</v>
      </c>
      <c r="L16" s="162">
        <f>QUARTILE(A4:A14,3)</f>
        <v>17.5</v>
      </c>
      <c r="M16" s="102">
        <f>QUARTILE(B4:B14,3)</f>
        <v>13.5</v>
      </c>
      <c r="O16" s="30" t="s">
        <v>215</v>
      </c>
      <c r="P16" s="30">
        <v>2.0930240544083096</v>
      </c>
      <c r="Q16" s="30"/>
      <c r="T16" t="s">
        <v>214</v>
      </c>
      <c r="X16" t="s">
        <v>114</v>
      </c>
      <c r="Y16">
        <f>Y11</f>
        <v>0.05</v>
      </c>
    </row>
    <row r="17" spans="1:29" ht="15.75" thickTop="1" x14ac:dyDescent="0.25">
      <c r="A17" s="575">
        <f>AVERAGE(A4:A14)</f>
        <v>14.909090909090908</v>
      </c>
      <c r="B17" s="575">
        <f>AVERAGE(B4:B14)</f>
        <v>11.1</v>
      </c>
      <c r="C17" t="s">
        <v>63</v>
      </c>
      <c r="K17" t="s">
        <v>1471</v>
      </c>
      <c r="L17" s="162">
        <f t="array" ref="L17">MAX(IF(A4:A14&lt;=L16+3*(L16-L14)/2,A4:A14,""))</f>
        <v>20</v>
      </c>
      <c r="M17" s="102">
        <f t="array" ref="M17">MAX(IF(B4:B14&lt;=M16+3*(M16-M14)/2,B4:B14,""))</f>
        <v>18</v>
      </c>
      <c r="T17" s="291" t="s">
        <v>181</v>
      </c>
      <c r="U17" s="291" t="s">
        <v>424</v>
      </c>
      <c r="V17" s="291" t="s">
        <v>243</v>
      </c>
      <c r="W17" s="291" t="s">
        <v>168</v>
      </c>
      <c r="X17" s="291" t="s">
        <v>182</v>
      </c>
      <c r="Y17" s="291" t="s">
        <v>183</v>
      </c>
      <c r="Z17" s="291" t="s">
        <v>102</v>
      </c>
      <c r="AA17" s="291" t="s">
        <v>103</v>
      </c>
      <c r="AB17" s="291" t="s">
        <v>381</v>
      </c>
      <c r="AC17" s="291" t="s">
        <v>425</v>
      </c>
    </row>
    <row r="18" spans="1:29" x14ac:dyDescent="0.25">
      <c r="A18">
        <f>VAR(A4:A14)</f>
        <v>12.8909090909091</v>
      </c>
      <c r="B18">
        <f>VAR(B4:B14)</f>
        <v>18.766666666666676</v>
      </c>
      <c r="C18" t="s">
        <v>427</v>
      </c>
      <c r="K18" t="s">
        <v>75</v>
      </c>
      <c r="L18" s="273">
        <f>AVERAGE(A4:A14)</f>
        <v>14.909090909090908</v>
      </c>
      <c r="M18" s="275">
        <f>AVERAGE(B4:B14)</f>
        <v>11.1</v>
      </c>
      <c r="T18" t="s">
        <v>185</v>
      </c>
      <c r="U18">
        <f>SQRT(W7/U7+W8/U8)</f>
        <v>1.7460147459609123</v>
      </c>
      <c r="V18">
        <f>(ABS(V7-V8-X5))/U18</f>
        <v>2.1815914887904286</v>
      </c>
      <c r="W18">
        <f>(W7/U7+W8/U8)^2/((W7/U7)^2/(U7-1)+(W8/U8)^2/(U8-1))</f>
        <v>17.580019826042967</v>
      </c>
      <c r="X18" t="e">
        <f ca="1">T_DIST_RT(V18,W18)</f>
        <v>#NAME?</v>
      </c>
      <c r="Y18" t="e">
        <f ca="1">T_INV(1-Y16,W18)</f>
        <v>#NAME?</v>
      </c>
      <c r="AB18" s="575" t="e">
        <f ca="1">IF(X18&lt;Y16,"yes","no")</f>
        <v>#NAME?</v>
      </c>
      <c r="AC18">
        <f>SQRT(V18^2/(V18^2+W18))</f>
        <v>0.46157051137579624</v>
      </c>
    </row>
    <row r="19" spans="1:29" x14ac:dyDescent="0.25">
      <c r="O19" t="s">
        <v>216</v>
      </c>
      <c r="T19" t="s">
        <v>186</v>
      </c>
      <c r="U19">
        <f>U18</f>
        <v>1.7460147459609123</v>
      </c>
      <c r="V19">
        <f>V18</f>
        <v>2.1815914887904286</v>
      </c>
      <c r="W19">
        <f>W18</f>
        <v>17.580019826042967</v>
      </c>
      <c r="X19" t="e">
        <f ca="1">T_DIST_2T(V19,W19)</f>
        <v>#NAME?</v>
      </c>
      <c r="Y19" t="e">
        <f ca="1">T_INV_2T(Y16,W19)</f>
        <v>#NAME?</v>
      </c>
      <c r="Z19" t="e">
        <f ca="1">(V7-V8)-Y19*U19</f>
        <v>#NAME?</v>
      </c>
      <c r="AA19" t="e">
        <f ca="1">(V7-V8)+Y19*U19</f>
        <v>#NAME?</v>
      </c>
      <c r="AB19" s="575" t="e">
        <f ca="1">IF(X19&lt;Y16,"yes","no")</f>
        <v>#NAME?</v>
      </c>
      <c r="AC19">
        <f>AC18</f>
        <v>0.46157051137579624</v>
      </c>
    </row>
    <row r="20" spans="1:29" ht="15.75" thickBot="1" x14ac:dyDescent="0.3">
      <c r="K20" t="s">
        <v>1432</v>
      </c>
      <c r="L20" s="528">
        <f>IF(MIN(L13:M13)&gt;=0,0,MIN(L13:M13))</f>
        <v>0</v>
      </c>
      <c r="T20" s="314"/>
      <c r="U20" s="314"/>
      <c r="V20" s="314"/>
      <c r="W20" s="314"/>
      <c r="X20" s="314"/>
      <c r="Y20" s="314"/>
      <c r="Z20" s="314"/>
      <c r="AA20" s="314"/>
      <c r="AB20" s="314"/>
      <c r="AC20" s="314"/>
    </row>
    <row r="21" spans="1:29" x14ac:dyDescent="0.25">
      <c r="O21" s="391"/>
      <c r="P21" s="391" t="s">
        <v>197</v>
      </c>
      <c r="Q21" s="391" t="s">
        <v>198</v>
      </c>
    </row>
    <row r="22" spans="1:29" x14ac:dyDescent="0.25">
      <c r="O22" s="27" t="s">
        <v>75</v>
      </c>
      <c r="P22" s="27">
        <v>14.909090909090908</v>
      </c>
      <c r="Q22" s="27">
        <v>11.1</v>
      </c>
    </row>
    <row r="23" spans="1:29" x14ac:dyDescent="0.25">
      <c r="O23" s="27" t="s">
        <v>204</v>
      </c>
      <c r="P23" s="27">
        <v>12.8909090909091</v>
      </c>
      <c r="Q23" s="27">
        <v>18.766666666666676</v>
      </c>
    </row>
    <row r="24" spans="1:29" x14ac:dyDescent="0.25">
      <c r="O24" s="27" t="s">
        <v>205</v>
      </c>
      <c r="P24" s="27">
        <v>11</v>
      </c>
      <c r="Q24" s="27">
        <v>10</v>
      </c>
    </row>
    <row r="25" spans="1:29" x14ac:dyDescent="0.25">
      <c r="O25" s="27" t="s">
        <v>208</v>
      </c>
      <c r="P25" s="27">
        <v>0</v>
      </c>
      <c r="Q25" s="27"/>
    </row>
    <row r="26" spans="1:29" x14ac:dyDescent="0.25">
      <c r="O26" s="27" t="s">
        <v>168</v>
      </c>
      <c r="P26" s="27">
        <v>18</v>
      </c>
      <c r="Q26" s="27"/>
    </row>
    <row r="27" spans="1:29" x14ac:dyDescent="0.25">
      <c r="O27" s="27" t="s">
        <v>210</v>
      </c>
      <c r="P27" s="27">
        <v>2.1815914887904286</v>
      </c>
      <c r="Q27" s="27"/>
    </row>
    <row r="28" spans="1:29" x14ac:dyDescent="0.25">
      <c r="O28" s="27" t="s">
        <v>211</v>
      </c>
      <c r="P28" s="27">
        <v>2.1321125482647356E-2</v>
      </c>
      <c r="Q28" s="27"/>
    </row>
    <row r="29" spans="1:29" x14ac:dyDescent="0.25">
      <c r="O29" s="27" t="s">
        <v>212</v>
      </c>
      <c r="P29" s="27">
        <v>1.7340636066175394</v>
      </c>
      <c r="Q29" s="27"/>
    </row>
    <row r="30" spans="1:29" x14ac:dyDescent="0.25">
      <c r="O30" s="27" t="s">
        <v>213</v>
      </c>
      <c r="P30" s="27">
        <v>4.2642250965294712E-2</v>
      </c>
      <c r="Q30" s="27"/>
    </row>
    <row r="31" spans="1:29" ht="15.75" thickBot="1" x14ac:dyDescent="0.3">
      <c r="O31" s="30" t="s">
        <v>215</v>
      </c>
      <c r="P31" s="30">
        <v>2.1009220402410378</v>
      </c>
      <c r="Q31" s="30"/>
    </row>
  </sheetData>
  <pageMargins left="0.7" right="0.7" top="0.75" bottom="0.75" header="0.3" footer="0.3"/>
  <drawing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A53"/>
  <sheetViews>
    <sheetView topLeftCell="C25" workbookViewId="0">
      <selection activeCell="R42" sqref="R42"/>
    </sheetView>
  </sheetViews>
  <sheetFormatPr defaultRowHeight="15" x14ac:dyDescent="0.25"/>
  <cols>
    <col min="3" max="3" width="5.7109375" customWidth="1"/>
    <col min="5" max="5" width="5.85546875" customWidth="1"/>
    <col min="6" max="6" width="28.42578125" customWidth="1"/>
    <col min="8" max="8" width="10.140625" customWidth="1"/>
    <col min="10" max="10" width="28.28515625" customWidth="1"/>
    <col min="12" max="13" width="9.85546875" customWidth="1"/>
    <col min="17" max="17" width="9.85546875" customWidth="1"/>
    <col min="24" max="48" width="3.140625" customWidth="1"/>
    <col min="49" max="49" width="6.140625" customWidth="1"/>
    <col min="52" max="52" width="3" customWidth="1"/>
    <col min="53" max="53" width="25.5703125" customWidth="1"/>
  </cols>
  <sheetData>
    <row r="1" spans="1:53" x14ac:dyDescent="0.25">
      <c r="A1" s="1" t="s">
        <v>196</v>
      </c>
      <c r="X1" s="1" t="s">
        <v>323</v>
      </c>
    </row>
    <row r="2" spans="1:53" ht="15.75" thickBot="1" x14ac:dyDescent="0.3"/>
    <row r="3" spans="1:53" x14ac:dyDescent="0.25">
      <c r="A3" s="228" t="s">
        <v>218</v>
      </c>
      <c r="B3" s="228" t="s">
        <v>219</v>
      </c>
      <c r="C3" s="19"/>
      <c r="D3" s="19" t="s">
        <v>107</v>
      </c>
      <c r="F3" s="34" t="s">
        <v>218</v>
      </c>
      <c r="G3" s="34"/>
      <c r="J3" s="34" t="s">
        <v>219</v>
      </c>
      <c r="K3" s="34"/>
      <c r="N3" s="26" t="s">
        <v>107</v>
      </c>
      <c r="O3" s="26" t="s">
        <v>106</v>
      </c>
      <c r="X3" s="81" t="s">
        <v>28</v>
      </c>
      <c r="Y3">
        <v>23</v>
      </c>
      <c r="Z3">
        <v>15</v>
      </c>
      <c r="AA3">
        <v>16</v>
      </c>
      <c r="AB3">
        <v>25</v>
      </c>
      <c r="AC3">
        <v>20</v>
      </c>
      <c r="AD3">
        <v>17</v>
      </c>
      <c r="AE3">
        <v>18</v>
      </c>
      <c r="AF3">
        <v>14</v>
      </c>
      <c r="AG3">
        <v>12</v>
      </c>
      <c r="AH3">
        <v>19</v>
      </c>
      <c r="AI3">
        <v>21</v>
      </c>
      <c r="AJ3">
        <v>22</v>
      </c>
      <c r="AK3">
        <v>16</v>
      </c>
      <c r="AL3">
        <v>21</v>
      </c>
      <c r="AM3">
        <v>16</v>
      </c>
      <c r="AN3">
        <v>11</v>
      </c>
      <c r="AO3">
        <v>24</v>
      </c>
      <c r="AP3">
        <v>21</v>
      </c>
      <c r="AQ3">
        <v>18</v>
      </c>
      <c r="AR3">
        <v>15</v>
      </c>
      <c r="AS3">
        <v>19</v>
      </c>
      <c r="AT3">
        <v>22</v>
      </c>
      <c r="AU3">
        <v>13</v>
      </c>
      <c r="AV3">
        <v>24</v>
      </c>
      <c r="AX3" t="s">
        <v>318</v>
      </c>
      <c r="AY3">
        <f>CORREL(Y3:AV3,Y4:AV4)</f>
        <v>2.1402925123634755E-2</v>
      </c>
      <c r="BA3" s="22" t="s">
        <v>324</v>
      </c>
    </row>
    <row r="4" spans="1:53" ht="18" x14ac:dyDescent="0.35">
      <c r="A4">
        <v>23</v>
      </c>
      <c r="B4">
        <v>16</v>
      </c>
      <c r="D4">
        <v>10</v>
      </c>
      <c r="F4" s="27"/>
      <c r="G4" s="27"/>
      <c r="J4" s="27"/>
      <c r="K4" s="27"/>
      <c r="N4" s="28">
        <v>10</v>
      </c>
      <c r="O4" s="27">
        <v>0</v>
      </c>
      <c r="X4" s="81" t="s">
        <v>322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X4" t="s">
        <v>319</v>
      </c>
      <c r="AY4">
        <f>SQRT((1-AY3^2)/AY6)</f>
        <v>0.21315187871521352</v>
      </c>
      <c r="BA4" s="22" t="s">
        <v>325</v>
      </c>
    </row>
    <row r="5" spans="1:53" x14ac:dyDescent="0.25">
      <c r="A5">
        <v>15</v>
      </c>
      <c r="B5">
        <v>21</v>
      </c>
      <c r="D5">
        <f>D4+3</f>
        <v>13</v>
      </c>
      <c r="F5" s="27" t="s">
        <v>75</v>
      </c>
      <c r="G5" s="27">
        <v>18.5</v>
      </c>
      <c r="J5" s="27" t="s">
        <v>75</v>
      </c>
      <c r="K5" s="27">
        <v>18.333333333333332</v>
      </c>
      <c r="N5" s="28">
        <v>13</v>
      </c>
      <c r="O5" s="27">
        <v>1</v>
      </c>
      <c r="AX5" t="s">
        <v>320</v>
      </c>
      <c r="AY5">
        <f>(AY3-0)/AY4</f>
        <v>0.10041161847900307</v>
      </c>
      <c r="BA5" s="22" t="s">
        <v>326</v>
      </c>
    </row>
    <row r="6" spans="1:53" x14ac:dyDescent="0.25">
      <c r="A6">
        <v>16</v>
      </c>
      <c r="B6">
        <v>16</v>
      </c>
      <c r="D6">
        <f>D5+3</f>
        <v>16</v>
      </c>
      <c r="F6" s="27" t="s">
        <v>76</v>
      </c>
      <c r="G6" s="27">
        <v>1.1247895426040888</v>
      </c>
      <c r="J6" s="27" t="s">
        <v>76</v>
      </c>
      <c r="K6" s="27">
        <v>1.2206141855225954</v>
      </c>
      <c r="N6" s="28">
        <v>16</v>
      </c>
      <c r="O6" s="27">
        <v>3</v>
      </c>
      <c r="AX6" t="s">
        <v>321</v>
      </c>
      <c r="AY6">
        <f>COUNT(Y3:AV3)-2</f>
        <v>22</v>
      </c>
      <c r="BA6" s="22" t="s">
        <v>327</v>
      </c>
    </row>
    <row r="7" spans="1:53" x14ac:dyDescent="0.25">
      <c r="A7">
        <v>25</v>
      </c>
      <c r="B7">
        <v>11</v>
      </c>
      <c r="D7">
        <f>D6+3</f>
        <v>19</v>
      </c>
      <c r="F7" s="27" t="s">
        <v>77</v>
      </c>
      <c r="G7" s="27">
        <v>18.5</v>
      </c>
      <c r="J7" s="27" t="s">
        <v>77</v>
      </c>
      <c r="K7" s="27">
        <v>18.5</v>
      </c>
      <c r="N7" s="28">
        <v>19</v>
      </c>
      <c r="O7" s="27">
        <v>3</v>
      </c>
      <c r="AX7" t="s">
        <v>262</v>
      </c>
      <c r="AY7">
        <v>0.05</v>
      </c>
    </row>
    <row r="8" spans="1:53" x14ac:dyDescent="0.25">
      <c r="A8">
        <v>20</v>
      </c>
      <c r="B8">
        <v>24</v>
      </c>
      <c r="D8">
        <f>D7+3</f>
        <v>22</v>
      </c>
      <c r="F8" s="27" t="s">
        <v>78</v>
      </c>
      <c r="G8" s="27" t="e">
        <v>#N/A</v>
      </c>
      <c r="J8" s="27" t="s">
        <v>78</v>
      </c>
      <c r="K8" s="27">
        <v>16</v>
      </c>
      <c r="N8" s="28">
        <v>22</v>
      </c>
      <c r="O8" s="27">
        <v>3</v>
      </c>
      <c r="AX8" t="s">
        <v>182</v>
      </c>
      <c r="AY8">
        <f>TDIST(AY5,AY6,2)</f>
        <v>0.9209269970296301</v>
      </c>
      <c r="BA8" s="22" t="s">
        <v>328</v>
      </c>
    </row>
    <row r="9" spans="1:53" ht="15.75" thickBot="1" x14ac:dyDescent="0.3">
      <c r="A9">
        <v>17</v>
      </c>
      <c r="B9">
        <v>21</v>
      </c>
      <c r="F9" s="27" t="s">
        <v>79</v>
      </c>
      <c r="G9" s="27">
        <v>3.8963852712248799</v>
      </c>
      <c r="J9" s="27" t="s">
        <v>79</v>
      </c>
      <c r="K9" s="27">
        <v>4.2283315715288774</v>
      </c>
      <c r="N9" s="30" t="s">
        <v>111</v>
      </c>
      <c r="O9" s="30">
        <v>2</v>
      </c>
      <c r="AX9" t="s">
        <v>184</v>
      </c>
      <c r="AY9" s="19" t="str">
        <f>IF(AY8&lt;AY7,"yes","no")</f>
        <v>no</v>
      </c>
      <c r="BA9" s="22" t="s">
        <v>329</v>
      </c>
    </row>
    <row r="10" spans="1:53" x14ac:dyDescent="0.25">
      <c r="A10">
        <v>18</v>
      </c>
      <c r="B10">
        <v>18</v>
      </c>
      <c r="F10" s="27" t="s">
        <v>80</v>
      </c>
      <c r="G10" s="27">
        <v>15.181818181818182</v>
      </c>
      <c r="J10" s="27" t="s">
        <v>80</v>
      </c>
      <c r="K10" s="27">
        <v>17.878787878787865</v>
      </c>
    </row>
    <row r="11" spans="1:53" ht="18" x14ac:dyDescent="0.35">
      <c r="A11">
        <v>14</v>
      </c>
      <c r="B11">
        <v>15</v>
      </c>
      <c r="F11" s="27" t="s">
        <v>81</v>
      </c>
      <c r="G11" s="27">
        <v>-0.76628061242783874</v>
      </c>
      <c r="J11" s="27" t="s">
        <v>81</v>
      </c>
      <c r="K11" s="27">
        <v>-0.96305774202815364</v>
      </c>
      <c r="AX11" t="s">
        <v>220</v>
      </c>
    </row>
    <row r="12" spans="1:53" x14ac:dyDescent="0.25">
      <c r="A12">
        <v>12</v>
      </c>
      <c r="B12">
        <v>19</v>
      </c>
      <c r="F12" s="27" t="s">
        <v>82</v>
      </c>
      <c r="G12" s="27">
        <v>1.2111523905001707E-17</v>
      </c>
      <c r="J12" s="27" t="s">
        <v>82</v>
      </c>
      <c r="K12" s="27">
        <v>-0.22671922756757223</v>
      </c>
    </row>
    <row r="13" spans="1:53" x14ac:dyDescent="0.25">
      <c r="A13">
        <v>19</v>
      </c>
      <c r="B13">
        <v>22</v>
      </c>
      <c r="F13" s="27" t="s">
        <v>83</v>
      </c>
      <c r="G13" s="27">
        <v>13</v>
      </c>
      <c r="J13" s="27" t="s">
        <v>83</v>
      </c>
      <c r="K13" s="27">
        <v>13</v>
      </c>
    </row>
    <row r="14" spans="1:53" ht="15.75" thickBot="1" x14ac:dyDescent="0.3">
      <c r="A14">
        <v>21</v>
      </c>
      <c r="B14">
        <v>13</v>
      </c>
      <c r="F14" s="27" t="s">
        <v>84</v>
      </c>
      <c r="G14" s="27">
        <v>12</v>
      </c>
      <c r="J14" s="27" t="s">
        <v>84</v>
      </c>
      <c r="K14" s="27">
        <v>11</v>
      </c>
    </row>
    <row r="15" spans="1:53" x14ac:dyDescent="0.25">
      <c r="A15" s="276">
        <v>22</v>
      </c>
      <c r="B15" s="276">
        <v>24</v>
      </c>
      <c r="F15" s="27" t="s">
        <v>85</v>
      </c>
      <c r="G15" s="27">
        <v>25</v>
      </c>
      <c r="J15" s="27" t="s">
        <v>85</v>
      </c>
      <c r="K15" s="27">
        <v>24</v>
      </c>
      <c r="N15" s="26" t="s">
        <v>107</v>
      </c>
      <c r="O15" s="26" t="s">
        <v>106</v>
      </c>
    </row>
    <row r="16" spans="1:53" x14ac:dyDescent="0.25">
      <c r="F16" s="27" t="s">
        <v>86</v>
      </c>
      <c r="G16" s="27">
        <v>222</v>
      </c>
      <c r="J16" s="27" t="s">
        <v>86</v>
      </c>
      <c r="K16" s="27">
        <v>220</v>
      </c>
      <c r="N16" s="28">
        <v>10</v>
      </c>
      <c r="O16" s="27">
        <v>0</v>
      </c>
    </row>
    <row r="17" spans="6:15" ht="15.75" thickBot="1" x14ac:dyDescent="0.3">
      <c r="F17" s="30" t="s">
        <v>87</v>
      </c>
      <c r="G17" s="30">
        <v>12</v>
      </c>
      <c r="J17" s="30" t="s">
        <v>87</v>
      </c>
      <c r="K17" s="30">
        <v>12</v>
      </c>
      <c r="N17" s="28">
        <v>13</v>
      </c>
      <c r="O17" s="27">
        <v>2</v>
      </c>
    </row>
    <row r="18" spans="6:15" x14ac:dyDescent="0.25">
      <c r="N18" s="28">
        <v>16</v>
      </c>
      <c r="O18" s="27">
        <v>3</v>
      </c>
    </row>
    <row r="19" spans="6:15" x14ac:dyDescent="0.25">
      <c r="N19" s="28">
        <v>19</v>
      </c>
      <c r="O19" s="27">
        <v>2</v>
      </c>
    </row>
    <row r="20" spans="6:15" x14ac:dyDescent="0.25">
      <c r="F20" t="s">
        <v>201</v>
      </c>
      <c r="J20" t="s">
        <v>216</v>
      </c>
      <c r="N20" s="28">
        <v>22</v>
      </c>
      <c r="O20" s="27">
        <v>3</v>
      </c>
    </row>
    <row r="21" spans="6:15" ht="15.75" thickBot="1" x14ac:dyDescent="0.3">
      <c r="N21" s="30" t="s">
        <v>111</v>
      </c>
      <c r="O21" s="30">
        <v>2</v>
      </c>
    </row>
    <row r="22" spans="6:15" x14ac:dyDescent="0.25">
      <c r="F22" s="26"/>
      <c r="G22" s="26" t="s">
        <v>218</v>
      </c>
      <c r="H22" s="26" t="s">
        <v>219</v>
      </c>
      <c r="J22" s="26"/>
      <c r="K22" s="26" t="s">
        <v>218</v>
      </c>
      <c r="L22" s="26" t="s">
        <v>219</v>
      </c>
      <c r="M22" s="73"/>
    </row>
    <row r="23" spans="6:15" x14ac:dyDescent="0.25">
      <c r="F23" s="27" t="s">
        <v>75</v>
      </c>
      <c r="G23" s="27">
        <v>18.5</v>
      </c>
      <c r="H23" s="27">
        <v>18.333333333333332</v>
      </c>
      <c r="J23" s="27" t="s">
        <v>75</v>
      </c>
      <c r="K23" s="27">
        <v>18.5</v>
      </c>
      <c r="L23" s="27">
        <v>18.333333333333332</v>
      </c>
      <c r="M23" s="27"/>
    </row>
    <row r="24" spans="6:15" x14ac:dyDescent="0.25">
      <c r="F24" s="27" t="s">
        <v>204</v>
      </c>
      <c r="G24" s="27">
        <v>15.181818181818182</v>
      </c>
      <c r="H24" s="27">
        <v>17.878787878787865</v>
      </c>
      <c r="J24" s="27" t="s">
        <v>204</v>
      </c>
      <c r="K24" s="27">
        <v>15.181818181818182</v>
      </c>
      <c r="L24" s="27">
        <v>17.878787878787865</v>
      </c>
      <c r="M24" s="27"/>
    </row>
    <row r="25" spans="6:15" x14ac:dyDescent="0.25">
      <c r="F25" s="27" t="s">
        <v>205</v>
      </c>
      <c r="G25" s="27">
        <v>12</v>
      </c>
      <c r="H25" s="27">
        <v>12</v>
      </c>
      <c r="J25" s="27" t="s">
        <v>205</v>
      </c>
      <c r="K25" s="27">
        <v>12</v>
      </c>
      <c r="L25" s="27">
        <v>12</v>
      </c>
      <c r="M25" s="27"/>
    </row>
    <row r="26" spans="6:15" x14ac:dyDescent="0.25">
      <c r="F26" s="27" t="s">
        <v>207</v>
      </c>
      <c r="G26" s="27">
        <v>16.530303030303024</v>
      </c>
      <c r="H26" s="27"/>
      <c r="J26" s="27" t="s">
        <v>208</v>
      </c>
      <c r="K26" s="27">
        <v>0</v>
      </c>
      <c r="L26" s="27"/>
      <c r="M26" s="27"/>
    </row>
    <row r="27" spans="6:15" x14ac:dyDescent="0.25">
      <c r="F27" s="27" t="s">
        <v>208</v>
      </c>
      <c r="G27" s="27">
        <v>0</v>
      </c>
      <c r="H27" s="27"/>
      <c r="J27" s="27" t="s">
        <v>168</v>
      </c>
      <c r="K27" s="27">
        <v>22</v>
      </c>
      <c r="L27" s="27"/>
      <c r="M27" s="27"/>
    </row>
    <row r="28" spans="6:15" x14ac:dyDescent="0.25">
      <c r="F28" s="27" t="s">
        <v>168</v>
      </c>
      <c r="G28" s="27">
        <v>22</v>
      </c>
      <c r="H28" s="27"/>
      <c r="J28" s="27" t="s">
        <v>210</v>
      </c>
      <c r="K28" s="27">
        <v>0.1004116184790038</v>
      </c>
      <c r="L28" s="27"/>
      <c r="M28" s="27"/>
    </row>
    <row r="29" spans="6:15" x14ac:dyDescent="0.25">
      <c r="F29" s="27" t="s">
        <v>210</v>
      </c>
      <c r="G29" s="27">
        <v>0.1004116184790038</v>
      </c>
      <c r="H29" s="27"/>
      <c r="J29" s="27" t="s">
        <v>211</v>
      </c>
      <c r="K29" s="27">
        <v>0.46046349851742818</v>
      </c>
      <c r="L29" s="27"/>
      <c r="M29" s="27"/>
    </row>
    <row r="30" spans="6:15" x14ac:dyDescent="0.25">
      <c r="F30" s="27" t="s">
        <v>211</v>
      </c>
      <c r="G30" s="27">
        <v>0.46046349851742818</v>
      </c>
      <c r="H30" s="27"/>
      <c r="J30" s="27" t="s">
        <v>212</v>
      </c>
      <c r="K30" s="27">
        <v>1.7171443354398259</v>
      </c>
      <c r="L30" s="27"/>
      <c r="M30" s="27"/>
    </row>
    <row r="31" spans="6:15" x14ac:dyDescent="0.25">
      <c r="F31" s="27" t="s">
        <v>212</v>
      </c>
      <c r="G31" s="27">
        <v>1.7171443354398259</v>
      </c>
      <c r="H31" s="27"/>
      <c r="J31" s="27" t="s">
        <v>213</v>
      </c>
      <c r="K31" s="27">
        <v>0.92092699703485636</v>
      </c>
      <c r="L31" s="27"/>
      <c r="M31" s="27"/>
    </row>
    <row r="32" spans="6:15" ht="15.75" thickBot="1" x14ac:dyDescent="0.3">
      <c r="F32" s="27" t="s">
        <v>213</v>
      </c>
      <c r="G32" s="27">
        <v>0.92092699703485636</v>
      </c>
      <c r="H32" s="27"/>
      <c r="J32" s="30" t="s">
        <v>215</v>
      </c>
      <c r="K32" s="30">
        <v>2.0738730583156064</v>
      </c>
      <c r="L32" s="30"/>
      <c r="M32" s="27"/>
    </row>
    <row r="33" spans="6:20" ht="15.75" thickBot="1" x14ac:dyDescent="0.3">
      <c r="F33" s="30" t="s">
        <v>215</v>
      </c>
      <c r="G33" s="30">
        <v>2.0738730583156064</v>
      </c>
      <c r="H33" s="30"/>
    </row>
    <row r="36" spans="6:20" s="1" customFormat="1" x14ac:dyDescent="0.25">
      <c r="J36" t="s">
        <v>200</v>
      </c>
      <c r="K36"/>
      <c r="L36"/>
      <c r="M36"/>
      <c r="N36"/>
      <c r="O36"/>
      <c r="P36"/>
      <c r="Q36"/>
      <c r="R36"/>
      <c r="S36"/>
      <c r="T36"/>
    </row>
    <row r="38" spans="6:20" ht="15.75" thickBot="1" x14ac:dyDescent="0.3">
      <c r="J38" t="s">
        <v>176</v>
      </c>
      <c r="M38" t="s">
        <v>202</v>
      </c>
      <c r="N38">
        <v>0</v>
      </c>
    </row>
    <row r="39" spans="6:20" ht="15.75" thickTop="1" x14ac:dyDescent="0.25">
      <c r="J39" s="291" t="s">
        <v>203</v>
      </c>
      <c r="K39" s="291" t="s">
        <v>87</v>
      </c>
      <c r="L39" s="291" t="s">
        <v>75</v>
      </c>
      <c r="M39" s="291" t="s">
        <v>204</v>
      </c>
      <c r="N39" s="291" t="s">
        <v>178</v>
      </c>
    </row>
    <row r="40" spans="6:20" x14ac:dyDescent="0.25">
      <c r="J40" t="str">
        <f>A3</f>
        <v>Control</v>
      </c>
      <c r="K40">
        <f>COUNT(A4:A15)</f>
        <v>12</v>
      </c>
      <c r="L40">
        <f>AVERAGE(A4:A15)</f>
        <v>18.5</v>
      </c>
      <c r="M40">
        <f>VAR(A4:A15)</f>
        <v>15.181818181818182</v>
      </c>
    </row>
    <row r="41" spans="6:20" x14ac:dyDescent="0.25">
      <c r="J41" t="str">
        <f>B3</f>
        <v>Drug</v>
      </c>
      <c r="K41">
        <f>COUNT(B4:B15)</f>
        <v>12</v>
      </c>
      <c r="L41">
        <f>AVERAGE(B4:B15)</f>
        <v>18.333333333333332</v>
      </c>
      <c r="M41">
        <f>VAR(B4:B15)</f>
        <v>17.878787878787865</v>
      </c>
    </row>
    <row r="42" spans="6:20" x14ac:dyDescent="0.25">
      <c r="J42" s="292" t="s">
        <v>206</v>
      </c>
      <c r="K42" s="292"/>
      <c r="L42" s="292"/>
      <c r="M42" s="292">
        <f>((K40-1)*M40+(K41-1)*M41)/(K40+K41-2)</f>
        <v>16.530303030303024</v>
      </c>
      <c r="N42" s="292">
        <f>ABS(L40-L41-N38)/SQRT(M42)</f>
        <v>4.099287158676293E-2</v>
      </c>
    </row>
    <row r="44" spans="6:20" ht="15.75" thickBot="1" x14ac:dyDescent="0.3">
      <c r="J44" t="s">
        <v>209</v>
      </c>
      <c r="N44" t="s">
        <v>114</v>
      </c>
      <c r="O44">
        <v>0.05</v>
      </c>
    </row>
    <row r="45" spans="6:20" ht="15.75" thickTop="1" x14ac:dyDescent="0.25">
      <c r="J45" s="291" t="s">
        <v>181</v>
      </c>
      <c r="K45" s="291" t="s">
        <v>424</v>
      </c>
      <c r="L45" s="291" t="s">
        <v>243</v>
      </c>
      <c r="M45" s="291" t="s">
        <v>168</v>
      </c>
      <c r="N45" s="291" t="s">
        <v>182</v>
      </c>
      <c r="O45" s="291" t="s">
        <v>183</v>
      </c>
      <c r="P45" s="291" t="s">
        <v>102</v>
      </c>
      <c r="Q45" s="291" t="s">
        <v>103</v>
      </c>
      <c r="R45" s="291" t="s">
        <v>381</v>
      </c>
      <c r="S45" s="291" t="s">
        <v>425</v>
      </c>
    </row>
    <row r="46" spans="6:20" x14ac:dyDescent="0.25">
      <c r="J46" t="s">
        <v>185</v>
      </c>
      <c r="K46">
        <f>SQRT(M42*(1/K40+1/K41))</f>
        <v>1.6598344812210957</v>
      </c>
      <c r="L46">
        <f>(ABS(L40-L41-N38))/K46</f>
        <v>0.1004116184790038</v>
      </c>
      <c r="M46">
        <f>K40+K41-2</f>
        <v>22</v>
      </c>
      <c r="N46">
        <f>TDIST(L46,M46,1)</f>
        <v>0.46046349851481477</v>
      </c>
      <c r="O46">
        <f>TINV(O44*2,M46)</f>
        <v>1.7171443743802424</v>
      </c>
      <c r="R46" s="322" t="str">
        <f>IF(N46&lt;O44,"yes","no")</f>
        <v>no</v>
      </c>
      <c r="S46">
        <f>SQRT(L46^2/(L46^2+M46))</f>
        <v>2.1402925123634911E-2</v>
      </c>
    </row>
    <row r="47" spans="6:20" x14ac:dyDescent="0.25">
      <c r="J47" t="s">
        <v>186</v>
      </c>
      <c r="K47">
        <f>K46</f>
        <v>1.6598344812210957</v>
      </c>
      <c r="L47">
        <f>L46</f>
        <v>0.1004116184790038</v>
      </c>
      <c r="M47">
        <f>M46</f>
        <v>22</v>
      </c>
      <c r="N47">
        <f>TDIST(L47,M47,2)</f>
        <v>0.92092699702962955</v>
      </c>
      <c r="O47">
        <f>TINV(O44,M47)</f>
        <v>2.0738730679040258</v>
      </c>
      <c r="P47">
        <f>(L40-L41)-O47*K47</f>
        <v>-3.2756193611162128</v>
      </c>
      <c r="Q47">
        <f>(L40-L41)+O47*K47</f>
        <v>3.6089526944495485</v>
      </c>
      <c r="R47" s="322" t="str">
        <f>IF(N47&lt;O44,"yes","no")</f>
        <v>no</v>
      </c>
      <c r="S47">
        <f>S46</f>
        <v>2.1402925123634911E-2</v>
      </c>
    </row>
    <row r="48" spans="6:20" x14ac:dyDescent="0.25">
      <c r="J48" s="292"/>
      <c r="K48" s="292"/>
      <c r="L48" s="292"/>
      <c r="M48" s="292"/>
      <c r="N48" s="292"/>
      <c r="O48" s="292"/>
      <c r="P48" s="292"/>
      <c r="Q48" s="292"/>
      <c r="R48" s="292"/>
      <c r="S48" s="292"/>
    </row>
    <row r="49" spans="10:19" ht="15.75" thickBot="1" x14ac:dyDescent="0.3">
      <c r="J49" t="s">
        <v>214</v>
      </c>
      <c r="N49" t="s">
        <v>114</v>
      </c>
      <c r="O49">
        <f>O44</f>
        <v>0.05</v>
      </c>
    </row>
    <row r="50" spans="10:19" ht="15.75" thickTop="1" x14ac:dyDescent="0.25">
      <c r="J50" s="291" t="s">
        <v>181</v>
      </c>
      <c r="K50" s="291" t="s">
        <v>424</v>
      </c>
      <c r="L50" s="291" t="s">
        <v>243</v>
      </c>
      <c r="M50" s="291" t="s">
        <v>168</v>
      </c>
      <c r="N50" s="291" t="s">
        <v>182</v>
      </c>
      <c r="O50" s="291" t="s">
        <v>183</v>
      </c>
      <c r="P50" s="291" t="s">
        <v>102</v>
      </c>
      <c r="Q50" s="291" t="s">
        <v>103</v>
      </c>
      <c r="R50" s="291" t="s">
        <v>381</v>
      </c>
      <c r="S50" s="291" t="s">
        <v>425</v>
      </c>
    </row>
    <row r="51" spans="10:19" x14ac:dyDescent="0.25">
      <c r="J51" t="s">
        <v>185</v>
      </c>
      <c r="K51">
        <f>SQRT(M40/K40+M41/K41)</f>
        <v>1.6598344812210957</v>
      </c>
      <c r="L51">
        <f>(ABS(L40-L41-N38))/K51</f>
        <v>0.1004116184790038</v>
      </c>
      <c r="M51">
        <f>(M40/K40+M41/K41)^2/((M40/K40)^2/(K40-1)+(M41/K41)^2/(K41-1))</f>
        <v>21.854563754692446</v>
      </c>
      <c r="N51" t="e">
        <f ca="1">T_DIST_RT(L51,M51)</f>
        <v>#NAME?</v>
      </c>
      <c r="O51" t="e">
        <f ca="1">T_INV(1-O49,M51)</f>
        <v>#NAME?</v>
      </c>
      <c r="R51" s="322" t="e">
        <f ca="1">IF(N51&lt;O49,"yes","no")</f>
        <v>#NAME?</v>
      </c>
      <c r="S51">
        <f>SQRT(L51^2/(L51^2+M51))</f>
        <v>2.1473989661303275E-2</v>
      </c>
    </row>
    <row r="52" spans="10:19" x14ac:dyDescent="0.25">
      <c r="J52" t="s">
        <v>186</v>
      </c>
      <c r="K52">
        <f>K51</f>
        <v>1.6598344812210957</v>
      </c>
      <c r="L52">
        <f>L51</f>
        <v>0.1004116184790038</v>
      </c>
      <c r="M52">
        <f>M51</f>
        <v>21.854563754692446</v>
      </c>
      <c r="N52" t="e">
        <f ca="1">T_DIST_2T(L52,M52)</f>
        <v>#NAME?</v>
      </c>
      <c r="O52" t="e">
        <f ca="1">T_INV_2T(O49,M52)</f>
        <v>#NAME?</v>
      </c>
      <c r="P52" t="e">
        <f ca="1">(L40-L41)-O52*K52</f>
        <v>#NAME?</v>
      </c>
      <c r="Q52" t="e">
        <f ca="1">(L40-L41)+O52*K52</f>
        <v>#NAME?</v>
      </c>
      <c r="R52" s="322" t="e">
        <f ca="1">IF(N52&lt;O49,"yes","no")</f>
        <v>#NAME?</v>
      </c>
      <c r="S52">
        <f>S51</f>
        <v>2.1473989661303275E-2</v>
      </c>
    </row>
    <row r="53" spans="10:19" x14ac:dyDescent="0.25">
      <c r="J53" s="292"/>
      <c r="K53" s="292"/>
      <c r="L53" s="292"/>
      <c r="M53" s="292"/>
      <c r="N53" s="292"/>
      <c r="O53" s="292"/>
      <c r="P53" s="292"/>
      <c r="Q53" s="292"/>
      <c r="R53" s="292"/>
      <c r="S53" s="292"/>
    </row>
  </sheetData>
  <sortState ref="N16:N20">
    <sortCondition ref="N16"/>
  </sortState>
  <pageMargins left="0.7" right="0.7" top="0.75" bottom="0.75" header="0.3" footer="0.3"/>
  <drawing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R55"/>
  <sheetViews>
    <sheetView workbookViewId="0"/>
  </sheetViews>
  <sheetFormatPr defaultRowHeight="15" x14ac:dyDescent="0.25"/>
  <cols>
    <col min="16" max="16" width="28.85546875" customWidth="1"/>
    <col min="19" max="19" width="10.140625" customWidth="1"/>
  </cols>
  <sheetData>
    <row r="1" spans="1:15" x14ac:dyDescent="0.25">
      <c r="A1" s="1" t="s">
        <v>196</v>
      </c>
    </row>
    <row r="3" spans="1:15" x14ac:dyDescent="0.25">
      <c r="A3" s="561" t="s">
        <v>197</v>
      </c>
      <c r="B3" s="561" t="s">
        <v>198</v>
      </c>
      <c r="K3" t="s">
        <v>699</v>
      </c>
      <c r="O3" s="322"/>
    </row>
    <row r="4" spans="1:15" x14ac:dyDescent="0.25">
      <c r="A4" s="553">
        <v>20</v>
      </c>
      <c r="B4" s="553">
        <v>12</v>
      </c>
    </row>
    <row r="5" spans="1:15" x14ac:dyDescent="0.25">
      <c r="A5" s="553">
        <v>32</v>
      </c>
      <c r="B5" s="553">
        <v>8</v>
      </c>
      <c r="L5" s="126" t="str">
        <f>A3</f>
        <v>New</v>
      </c>
      <c r="M5" s="126" t="str">
        <f>B3</f>
        <v>Old</v>
      </c>
    </row>
    <row r="6" spans="1:15" x14ac:dyDescent="0.25">
      <c r="A6" s="553">
        <v>2</v>
      </c>
      <c r="B6" s="553">
        <v>6</v>
      </c>
      <c r="K6" t="s">
        <v>142</v>
      </c>
      <c r="L6" s="529">
        <f>MIN(A4:A13)</f>
        <v>2</v>
      </c>
      <c r="M6" s="531">
        <f>MIN(B4:B13)</f>
        <v>4</v>
      </c>
    </row>
    <row r="7" spans="1:15" x14ac:dyDescent="0.25">
      <c r="A7" s="553">
        <v>25</v>
      </c>
      <c r="B7" s="553">
        <v>16</v>
      </c>
      <c r="K7" t="s">
        <v>143</v>
      </c>
      <c r="L7" s="162">
        <f>QUARTILE(A4:A13,1)-L6</f>
        <v>7.75</v>
      </c>
      <c r="M7" s="102">
        <f>QUARTILE(B4:B13,1)-M6</f>
        <v>4.5</v>
      </c>
    </row>
    <row r="8" spans="1:15" x14ac:dyDescent="0.25">
      <c r="A8" s="553">
        <v>5</v>
      </c>
      <c r="B8" s="553">
        <v>12</v>
      </c>
      <c r="K8" t="s">
        <v>144</v>
      </c>
      <c r="L8" s="162">
        <f>MEDIAN(A4:A13)-QUARTILE(A4:A13,1)</f>
        <v>10.75</v>
      </c>
      <c r="M8" s="102">
        <f>MEDIAN(B4:B13)-QUARTILE(B4:B13,1)</f>
        <v>3</v>
      </c>
    </row>
    <row r="9" spans="1:15" x14ac:dyDescent="0.25">
      <c r="A9" s="553">
        <v>18</v>
      </c>
      <c r="B9" s="553">
        <v>14</v>
      </c>
      <c r="K9" t="s">
        <v>145</v>
      </c>
      <c r="L9" s="162">
        <f>QUARTILE(A4:A13,3)-MEDIAN(A4:A13)</f>
        <v>6.75</v>
      </c>
      <c r="M9" s="102">
        <f>QUARTILE(B4:B13,3)-MEDIAN(B4:B13)</f>
        <v>2</v>
      </c>
    </row>
    <row r="10" spans="1:15" x14ac:dyDescent="0.25">
      <c r="A10" s="553">
        <v>21</v>
      </c>
      <c r="B10" s="553">
        <v>10</v>
      </c>
      <c r="K10" t="s">
        <v>146</v>
      </c>
      <c r="L10" s="162">
        <f>MAX(A4:A13)-QUARTILE(A4:A13,3)</f>
        <v>12.75</v>
      </c>
      <c r="M10" s="102">
        <f>MAX(B4:B13)-QUARTILE(B4:B13,3)</f>
        <v>4.5</v>
      </c>
    </row>
    <row r="11" spans="1:15" x14ac:dyDescent="0.25">
      <c r="A11" s="553">
        <v>7</v>
      </c>
      <c r="B11" s="553">
        <v>18</v>
      </c>
      <c r="K11" t="s">
        <v>75</v>
      </c>
      <c r="L11" s="273">
        <f>AVERAGE(A4:A13)</f>
        <v>19.8</v>
      </c>
      <c r="M11" s="275">
        <f>AVERAGE(B4:B13)</f>
        <v>11.1</v>
      </c>
    </row>
    <row r="12" spans="1:15" x14ac:dyDescent="0.25">
      <c r="A12" s="553">
        <v>28</v>
      </c>
      <c r="B12" s="553">
        <v>4</v>
      </c>
    </row>
    <row r="13" spans="1:15" x14ac:dyDescent="0.25">
      <c r="A13" s="527">
        <v>40</v>
      </c>
      <c r="B13" s="527">
        <v>11</v>
      </c>
    </row>
    <row r="14" spans="1:15" x14ac:dyDescent="0.25">
      <c r="A14" s="33"/>
      <c r="B14" s="33"/>
    </row>
    <row r="15" spans="1:15" x14ac:dyDescent="0.25">
      <c r="A15" s="33">
        <f>COUNT(A4:A13)</f>
        <v>10</v>
      </c>
      <c r="B15" s="33">
        <f>COUNT(B4:B13)</f>
        <v>10</v>
      </c>
      <c r="C15" t="s">
        <v>64</v>
      </c>
    </row>
    <row r="16" spans="1:15" x14ac:dyDescent="0.25">
      <c r="A16" s="33">
        <f>AVERAGE(A4:A13)</f>
        <v>19.8</v>
      </c>
      <c r="B16" s="33">
        <f>AVERAGE(B4:B13)</f>
        <v>11.1</v>
      </c>
      <c r="C16" t="s">
        <v>63</v>
      </c>
    </row>
    <row r="17" spans="1:18" x14ac:dyDescent="0.25">
      <c r="A17">
        <f>VAR(A4:A13)</f>
        <v>150.62222222222221</v>
      </c>
      <c r="B17">
        <f>VAR(B4:B13)</f>
        <v>18.766666666666676</v>
      </c>
      <c r="C17" t="s">
        <v>427</v>
      </c>
    </row>
    <row r="19" spans="1:18" x14ac:dyDescent="0.25">
      <c r="E19" t="s">
        <v>200</v>
      </c>
      <c r="P19" t="s">
        <v>201</v>
      </c>
    </row>
    <row r="20" spans="1:18" ht="15.75" thickBot="1" x14ac:dyDescent="0.3"/>
    <row r="21" spans="1:18" ht="15.75" thickBot="1" x14ac:dyDescent="0.3">
      <c r="E21" t="s">
        <v>176</v>
      </c>
      <c r="H21" t="s">
        <v>202</v>
      </c>
      <c r="I21">
        <v>0</v>
      </c>
      <c r="P21" s="391"/>
      <c r="Q21" s="391" t="s">
        <v>197</v>
      </c>
      <c r="R21" s="391" t="s">
        <v>198</v>
      </c>
    </row>
    <row r="22" spans="1:18" ht="15.75" thickTop="1" x14ac:dyDescent="0.25">
      <c r="E22" s="291" t="s">
        <v>203</v>
      </c>
      <c r="F22" s="291" t="s">
        <v>87</v>
      </c>
      <c r="G22" s="291" t="s">
        <v>75</v>
      </c>
      <c r="H22" s="291" t="s">
        <v>204</v>
      </c>
      <c r="I22" s="291" t="s">
        <v>178</v>
      </c>
      <c r="P22" s="27" t="s">
        <v>75</v>
      </c>
      <c r="Q22" s="27">
        <v>19.8</v>
      </c>
      <c r="R22" s="27">
        <v>11.1</v>
      </c>
    </row>
    <row r="23" spans="1:18" x14ac:dyDescent="0.25">
      <c r="E23" t="str">
        <f>A3</f>
        <v>New</v>
      </c>
      <c r="F23">
        <f>COUNT(A4:A13)</f>
        <v>10</v>
      </c>
      <c r="G23">
        <f>AVERAGE(A4:A13)</f>
        <v>19.8</v>
      </c>
      <c r="H23">
        <f>VAR(A4:A13)</f>
        <v>150.62222222222221</v>
      </c>
      <c r="P23" s="27" t="s">
        <v>204</v>
      </c>
      <c r="Q23" s="27">
        <v>150.62222222222221</v>
      </c>
      <c r="R23" s="27">
        <v>18.766666666666676</v>
      </c>
    </row>
    <row r="24" spans="1:18" x14ac:dyDescent="0.25">
      <c r="E24" t="str">
        <f>B3</f>
        <v>Old</v>
      </c>
      <c r="F24">
        <f>COUNT(B4:B13)</f>
        <v>10</v>
      </c>
      <c r="G24">
        <f>AVERAGE(B4:B13)</f>
        <v>11.1</v>
      </c>
      <c r="H24">
        <f>VAR(B4:B13)</f>
        <v>18.766666666666676</v>
      </c>
      <c r="P24" s="27" t="s">
        <v>205</v>
      </c>
      <c r="Q24" s="27">
        <v>10</v>
      </c>
      <c r="R24" s="27">
        <v>10</v>
      </c>
    </row>
    <row r="25" spans="1:18" x14ac:dyDescent="0.25">
      <c r="E25" s="292" t="s">
        <v>206</v>
      </c>
      <c r="F25" s="292"/>
      <c r="G25" s="292"/>
      <c r="H25" s="292">
        <f>((F23-1)*H23+(F24-1)*H24)/(F23+F24-2)</f>
        <v>84.694444444444443</v>
      </c>
      <c r="I25" s="292">
        <f>ABS(G23-G24-I21)/SQRT(H25)</f>
        <v>0.945348176499756</v>
      </c>
      <c r="P25" s="27" t="s">
        <v>207</v>
      </c>
      <c r="Q25" s="27">
        <v>84.694444444444443</v>
      </c>
      <c r="R25" s="27"/>
    </row>
    <row r="26" spans="1:18" x14ac:dyDescent="0.25">
      <c r="P26" s="27" t="s">
        <v>208</v>
      </c>
      <c r="Q26" s="27">
        <v>0</v>
      </c>
      <c r="R26" s="27"/>
    </row>
    <row r="27" spans="1:18" ht="15.75" thickBot="1" x14ac:dyDescent="0.3">
      <c r="E27" t="s">
        <v>209</v>
      </c>
      <c r="I27" t="s">
        <v>114</v>
      </c>
      <c r="J27">
        <v>0.05</v>
      </c>
      <c r="P27" s="27" t="s">
        <v>168</v>
      </c>
      <c r="Q27" s="27">
        <v>18</v>
      </c>
      <c r="R27" s="27"/>
    </row>
    <row r="28" spans="1:18" ht="15.75" thickTop="1" x14ac:dyDescent="0.25">
      <c r="E28" s="291" t="s">
        <v>181</v>
      </c>
      <c r="F28" s="291" t="s">
        <v>424</v>
      </c>
      <c r="G28" s="291" t="s">
        <v>243</v>
      </c>
      <c r="H28" s="291" t="s">
        <v>168</v>
      </c>
      <c r="I28" s="291" t="s">
        <v>182</v>
      </c>
      <c r="J28" s="291" t="s">
        <v>183</v>
      </c>
      <c r="K28" s="291" t="s">
        <v>102</v>
      </c>
      <c r="L28" s="291" t="s">
        <v>103</v>
      </c>
      <c r="M28" s="291" t="s">
        <v>381</v>
      </c>
      <c r="N28" s="291" t="s">
        <v>425</v>
      </c>
      <c r="P28" s="27" t="s">
        <v>210</v>
      </c>
      <c r="Q28" s="27">
        <v>2.1138627850589233</v>
      </c>
      <c r="R28" s="27"/>
    </row>
    <row r="29" spans="1:18" x14ac:dyDescent="0.25">
      <c r="E29" t="s">
        <v>185</v>
      </c>
      <c r="F29">
        <f>SQRT(H25*(1/F23+1/F24))</f>
        <v>4.1156881428126804</v>
      </c>
      <c r="G29">
        <f>(ABS(G23-G24-I21))/F29</f>
        <v>2.1138627850589233</v>
      </c>
      <c r="H29">
        <f>F23+F24-2</f>
        <v>18</v>
      </c>
      <c r="I29">
        <f>TDIST(G29,H29,1)</f>
        <v>2.4373360730381408E-2</v>
      </c>
      <c r="J29">
        <f>TINV(J27*2,H29)</f>
        <v>1.7340636066175394</v>
      </c>
      <c r="M29" s="322" t="str">
        <f>IF(I29&lt;J27,"yes","no")</f>
        <v>yes</v>
      </c>
      <c r="N29">
        <f>SQRT(G29^2/(G29^2+H29))</f>
        <v>0.44595451590159751</v>
      </c>
      <c r="P29" s="27" t="s">
        <v>211</v>
      </c>
      <c r="Q29" s="27">
        <v>2.4373360730381408E-2</v>
      </c>
      <c r="R29" s="27"/>
    </row>
    <row r="30" spans="1:18" x14ac:dyDescent="0.25">
      <c r="E30" t="s">
        <v>186</v>
      </c>
      <c r="F30">
        <f>F29</f>
        <v>4.1156881428126804</v>
      </c>
      <c r="G30">
        <f>G29</f>
        <v>2.1138627850589233</v>
      </c>
      <c r="H30">
        <f>H29</f>
        <v>18</v>
      </c>
      <c r="I30">
        <f>TDIST(G30,H30,2)</f>
        <v>4.8746721460762817E-2</v>
      </c>
      <c r="J30">
        <f>TINV(J27,H30)</f>
        <v>2.1009220402410378</v>
      </c>
      <c r="K30">
        <f>(G23-G24)-J30*F30</f>
        <v>5.3260070006137639E-2</v>
      </c>
      <c r="L30">
        <f>(G23-G24)+J30*F30</f>
        <v>17.346739929993866</v>
      </c>
      <c r="M30" s="322" t="str">
        <f>IF(I30&lt;J27,"yes","no")</f>
        <v>yes</v>
      </c>
      <c r="N30">
        <f>N29</f>
        <v>0.44595451590159751</v>
      </c>
      <c r="P30" s="27" t="s">
        <v>212</v>
      </c>
      <c r="Q30" s="27">
        <v>1.7340636066175394</v>
      </c>
      <c r="R30" s="27"/>
    </row>
    <row r="31" spans="1:18" x14ac:dyDescent="0.25"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P31" s="27" t="s">
        <v>213</v>
      </c>
      <c r="Q31" s="27">
        <v>4.8746721460762817E-2</v>
      </c>
      <c r="R31" s="27"/>
    </row>
    <row r="32" spans="1:18" ht="15.75" thickBot="1" x14ac:dyDescent="0.3">
      <c r="E32" t="s">
        <v>214</v>
      </c>
      <c r="I32" t="s">
        <v>114</v>
      </c>
      <c r="J32">
        <f>J27</f>
        <v>0.05</v>
      </c>
      <c r="P32" s="30" t="s">
        <v>215</v>
      </c>
      <c r="Q32" s="30">
        <v>2.1009220402410378</v>
      </c>
      <c r="R32" s="30"/>
    </row>
    <row r="33" spans="5:18" ht="15.75" thickTop="1" x14ac:dyDescent="0.25">
      <c r="E33" s="291" t="s">
        <v>181</v>
      </c>
      <c r="F33" s="291" t="s">
        <v>424</v>
      </c>
      <c r="G33" s="291" t="s">
        <v>243</v>
      </c>
      <c r="H33" s="291" t="s">
        <v>168</v>
      </c>
      <c r="I33" s="291" t="s">
        <v>182</v>
      </c>
      <c r="J33" s="291" t="s">
        <v>183</v>
      </c>
      <c r="K33" s="291" t="s">
        <v>102</v>
      </c>
      <c r="L33" s="291" t="s">
        <v>103</v>
      </c>
      <c r="M33" s="291" t="s">
        <v>381</v>
      </c>
      <c r="N33" s="291" t="s">
        <v>425</v>
      </c>
    </row>
    <row r="34" spans="5:18" x14ac:dyDescent="0.25">
      <c r="E34" t="s">
        <v>185</v>
      </c>
      <c r="F34">
        <f>SQRT(H23/F23+H24/F24)</f>
        <v>4.1156881428126804</v>
      </c>
      <c r="G34">
        <f>(ABS(G23-G24-I21))/F34</f>
        <v>2.1138627850589233</v>
      </c>
      <c r="H34">
        <f>(H23/F23+H24/F24)^2/((H23/F23)^2/(F23-1)+(H24/F24)^2/(F24-1))</f>
        <v>11.208414128343572</v>
      </c>
      <c r="I34" t="e">
        <f ca="1">T_DIST_RT(G34,H34)</f>
        <v>#NAME?</v>
      </c>
      <c r="J34" t="e">
        <f ca="1">T_INV(1-J32,H34)</f>
        <v>#NAME?</v>
      </c>
      <c r="M34" s="322" t="e">
        <f ca="1">IF(I34&lt;J32,"yes","no")</f>
        <v>#NAME?</v>
      </c>
      <c r="N34">
        <f>SQRT(G34^2/(G34^2+H34))</f>
        <v>0.53388493780051027</v>
      </c>
    </row>
    <row r="35" spans="5:18" x14ac:dyDescent="0.25">
      <c r="E35" t="s">
        <v>186</v>
      </c>
      <c r="F35">
        <f>F34</f>
        <v>4.1156881428126804</v>
      </c>
      <c r="G35">
        <f>G34</f>
        <v>2.1138627850589233</v>
      </c>
      <c r="H35">
        <f>H34</f>
        <v>11.208414128343572</v>
      </c>
      <c r="I35" t="e">
        <f ca="1">T_DIST_2T(G35,H35)</f>
        <v>#NAME?</v>
      </c>
      <c r="J35" t="e">
        <f ca="1">T_INV_2T(J32,H35)</f>
        <v>#NAME?</v>
      </c>
      <c r="K35" t="e">
        <f ca="1">(G23-G24)-J35*F35</f>
        <v>#NAME?</v>
      </c>
      <c r="L35" t="e">
        <f ca="1">(G23-G24)+J35*F35</f>
        <v>#NAME?</v>
      </c>
      <c r="M35" s="322" t="e">
        <f ca="1">IF(I35&lt;J32,"yes","no")</f>
        <v>#NAME?</v>
      </c>
      <c r="N35">
        <f>N34</f>
        <v>0.53388493780051027</v>
      </c>
      <c r="P35" t="s">
        <v>216</v>
      </c>
    </row>
    <row r="36" spans="5:18" ht="15.75" thickBot="1" x14ac:dyDescent="0.3">
      <c r="E36" s="292"/>
      <c r="F36" s="292"/>
      <c r="G36" s="292"/>
      <c r="H36" s="292"/>
      <c r="I36" s="292"/>
      <c r="J36" s="292"/>
      <c r="K36" s="292"/>
      <c r="L36" s="292"/>
      <c r="M36" s="292"/>
      <c r="N36" s="292"/>
    </row>
    <row r="37" spans="5:18" x14ac:dyDescent="0.25">
      <c r="P37" s="391"/>
      <c r="Q37" s="391" t="s">
        <v>197</v>
      </c>
      <c r="R37" s="391" t="s">
        <v>198</v>
      </c>
    </row>
    <row r="38" spans="5:18" x14ac:dyDescent="0.25">
      <c r="E38" t="s">
        <v>217</v>
      </c>
      <c r="P38" s="27" t="s">
        <v>75</v>
      </c>
      <c r="Q38" s="27">
        <v>19.8</v>
      </c>
      <c r="R38" s="27">
        <v>11.1</v>
      </c>
    </row>
    <row r="39" spans="5:18" x14ac:dyDescent="0.25">
      <c r="P39" s="27" t="s">
        <v>204</v>
      </c>
      <c r="Q39" s="27">
        <v>150.62222222222221</v>
      </c>
      <c r="R39" s="27">
        <v>18.766666666666676</v>
      </c>
    </row>
    <row r="40" spans="5:18" x14ac:dyDescent="0.25">
      <c r="E40" s="154">
        <f>TTEST(A4:A13,B4:B13,2,3)</f>
        <v>5.7729713764594112E-2</v>
      </c>
      <c r="G40" s="22" t="s">
        <v>1123</v>
      </c>
      <c r="P40" s="27" t="s">
        <v>205</v>
      </c>
      <c r="Q40" s="27">
        <v>10</v>
      </c>
      <c r="R40" s="27">
        <v>10</v>
      </c>
    </row>
    <row r="41" spans="5:18" x14ac:dyDescent="0.25">
      <c r="E41" s="155">
        <f>TTEST(A4:A13,B4:B13,2,2)</f>
        <v>4.8746721460762824E-2</v>
      </c>
      <c r="G41" s="22" t="s">
        <v>1124</v>
      </c>
      <c r="P41" s="27" t="s">
        <v>208</v>
      </c>
      <c r="Q41" s="27">
        <v>0</v>
      </c>
      <c r="R41" s="27"/>
    </row>
    <row r="42" spans="5:18" x14ac:dyDescent="0.25">
      <c r="P42" s="27" t="s">
        <v>168</v>
      </c>
      <c r="Q42" s="27">
        <v>11</v>
      </c>
      <c r="R42" s="27"/>
    </row>
    <row r="43" spans="5:18" x14ac:dyDescent="0.25">
      <c r="E43" t="s">
        <v>831</v>
      </c>
      <c r="P43" s="27" t="s">
        <v>210</v>
      </c>
      <c r="Q43" s="27">
        <v>2.1138627850589233</v>
      </c>
      <c r="R43" s="27"/>
    </row>
    <row r="44" spans="5:18" x14ac:dyDescent="0.25">
      <c r="P44" s="27" t="s">
        <v>211</v>
      </c>
      <c r="Q44" s="27">
        <v>2.9092986286339117E-2</v>
      </c>
      <c r="R44" s="27"/>
    </row>
    <row r="45" spans="5:18" x14ac:dyDescent="0.25">
      <c r="E45" s="315" t="e">
        <f ca="1">VAR_POOLED(A4:A13,B4:B13)</f>
        <v>#NAME?</v>
      </c>
      <c r="G45" s="22" t="s">
        <v>826</v>
      </c>
      <c r="P45" s="27" t="s">
        <v>212</v>
      </c>
      <c r="Q45" s="27">
        <v>1.7958848187040437</v>
      </c>
      <c r="R45" s="27"/>
    </row>
    <row r="46" spans="5:18" x14ac:dyDescent="0.25">
      <c r="E46" s="163" t="e">
        <f ca="1">stdev_pooled(A4:A13,B4:B13)</f>
        <v>#NAME?</v>
      </c>
      <c r="G46" s="22" t="s">
        <v>827</v>
      </c>
      <c r="P46" s="27" t="s">
        <v>213</v>
      </c>
      <c r="Q46" s="27">
        <v>5.8185972572678234E-2</v>
      </c>
      <c r="R46" s="27"/>
    </row>
    <row r="47" spans="5:18" ht="15.75" thickBot="1" x14ac:dyDescent="0.3">
      <c r="E47" s="163" t="e">
        <f ca="1">STDERR_POOLED(A4:A13,B4:B13)</f>
        <v>#NAME?</v>
      </c>
      <c r="G47" s="22" t="s">
        <v>828</v>
      </c>
      <c r="P47" s="30" t="s">
        <v>215</v>
      </c>
      <c r="Q47" s="30">
        <v>2.2009851600916384</v>
      </c>
      <c r="R47" s="30"/>
    </row>
    <row r="48" spans="5:18" x14ac:dyDescent="0.25">
      <c r="E48" s="155" t="e">
        <f ca="1">DF_POOLED(A4:A13,B4:B13)</f>
        <v>#NAME?</v>
      </c>
      <c r="G48" s="22" t="s">
        <v>1126</v>
      </c>
    </row>
    <row r="50" spans="5:7" x14ac:dyDescent="0.25">
      <c r="E50" t="s">
        <v>830</v>
      </c>
    </row>
    <row r="52" spans="5:7" x14ac:dyDescent="0.25">
      <c r="E52" s="325" t="e">
        <f ca="1">VAR_POOLED(A4:A13,B4:B12)</f>
        <v>#NAME?</v>
      </c>
      <c r="G52" s="22" t="s">
        <v>832</v>
      </c>
    </row>
    <row r="53" spans="5:7" x14ac:dyDescent="0.25">
      <c r="E53" s="326" t="e">
        <f ca="1">stdev_pooled(A4:A13,B4:B12)</f>
        <v>#NAME?</v>
      </c>
      <c r="G53" s="22" t="s">
        <v>833</v>
      </c>
    </row>
    <row r="54" spans="5:7" x14ac:dyDescent="0.25">
      <c r="E54" s="163" t="e">
        <f ca="1">STDERR_POOLED(A4:A13,B4:B12)</f>
        <v>#NAME?</v>
      </c>
      <c r="G54" s="22" t="s">
        <v>829</v>
      </c>
    </row>
    <row r="55" spans="5:7" x14ac:dyDescent="0.25">
      <c r="E55" s="155" t="e">
        <f ca="1">DF_POOLED(A4:A13,B4:B12)</f>
        <v>#NAME?</v>
      </c>
      <c r="G55" s="22" t="s">
        <v>1125</v>
      </c>
    </row>
  </sheetData>
  <pageMargins left="0.7" right="0.7" top="0.75" bottom="0.75" header="0.3" footer="0.3"/>
  <drawing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L38"/>
  <sheetViews>
    <sheetView workbookViewId="0"/>
  </sheetViews>
  <sheetFormatPr defaultRowHeight="15" x14ac:dyDescent="0.25"/>
  <cols>
    <col min="1" max="2" width="6.7109375" customWidth="1"/>
    <col min="3" max="3" width="4.42578125" customWidth="1"/>
    <col min="4" max="4" width="14.140625" customWidth="1"/>
    <col min="5" max="5" width="9.140625" customWidth="1"/>
    <col min="6" max="6" width="3.28515625" customWidth="1"/>
    <col min="7" max="7" width="38.28515625" customWidth="1"/>
    <col min="8" max="8" width="9.140625" customWidth="1"/>
    <col min="9" max="9" width="14.28515625" customWidth="1"/>
    <col min="11" max="11" width="3.140625" customWidth="1"/>
    <col min="12" max="12" width="34.28515625" customWidth="1"/>
  </cols>
  <sheetData>
    <row r="1" spans="1:12" x14ac:dyDescent="0.25">
      <c r="A1" s="1" t="s">
        <v>1712</v>
      </c>
    </row>
    <row r="3" spans="1:12" x14ac:dyDescent="0.25">
      <c r="A3" s="492" t="s">
        <v>197</v>
      </c>
      <c r="B3" s="492" t="s">
        <v>198</v>
      </c>
      <c r="D3" t="s">
        <v>1713</v>
      </c>
      <c r="E3" s="486">
        <f>AVERAGE(A4:A14)</f>
        <v>14.909090909090908</v>
      </c>
      <c r="G3" t="e">
        <f ca="1">FTEXT(E3)</f>
        <v>#NAME?</v>
      </c>
      <c r="I3" t="s">
        <v>1713</v>
      </c>
      <c r="J3" s="486">
        <f>AVERAGE(A4:A14)</f>
        <v>14.909090909090908</v>
      </c>
      <c r="L3" t="e">
        <f ca="1">FTEXT(J3)</f>
        <v>#NAME?</v>
      </c>
    </row>
    <row r="4" spans="1:12" x14ac:dyDescent="0.25">
      <c r="A4" s="566">
        <v>13</v>
      </c>
      <c r="B4" s="566">
        <v>12</v>
      </c>
      <c r="D4" t="s">
        <v>1714</v>
      </c>
      <c r="E4" s="163">
        <f>AVERAGE(B4:B14)</f>
        <v>11.1</v>
      </c>
      <c r="G4" t="e">
        <f ca="1">FTEXT(E4)</f>
        <v>#NAME?</v>
      </c>
      <c r="I4" t="s">
        <v>1714</v>
      </c>
      <c r="J4" s="163">
        <f>AVERAGE(B4:B14)</f>
        <v>11.1</v>
      </c>
      <c r="L4" t="e">
        <f ca="1">FTEXT(J4)</f>
        <v>#NAME?</v>
      </c>
    </row>
    <row r="5" spans="1:12" x14ac:dyDescent="0.25">
      <c r="A5" s="584">
        <v>17</v>
      </c>
      <c r="B5" s="584">
        <v>8</v>
      </c>
      <c r="D5" t="s">
        <v>1715</v>
      </c>
      <c r="E5" s="163">
        <f>STDEV(A4:A14)</f>
        <v>3.5903912169719194</v>
      </c>
      <c r="G5" s="22" t="s">
        <v>1316</v>
      </c>
      <c r="I5" t="s">
        <v>1715</v>
      </c>
      <c r="J5" s="163">
        <f>STDEV(A4:A14)</f>
        <v>3.5903912169719194</v>
      </c>
      <c r="L5" s="22" t="s">
        <v>1316</v>
      </c>
    </row>
    <row r="6" spans="1:12" x14ac:dyDescent="0.25">
      <c r="A6" s="584">
        <v>19</v>
      </c>
      <c r="B6" s="584">
        <v>6</v>
      </c>
      <c r="D6" t="s">
        <v>1716</v>
      </c>
      <c r="E6" s="163">
        <f>STDEV(B4:B14)</f>
        <v>4.3320510923425957</v>
      </c>
      <c r="G6" s="22" t="s">
        <v>1459</v>
      </c>
      <c r="I6" t="s">
        <v>1716</v>
      </c>
      <c r="J6" s="163">
        <f>STDEV(B4:B14)</f>
        <v>4.3320510923425957</v>
      </c>
      <c r="L6" s="22" t="s">
        <v>1459</v>
      </c>
    </row>
    <row r="7" spans="1:12" x14ac:dyDescent="0.25">
      <c r="A7" s="584">
        <v>10</v>
      </c>
      <c r="B7" s="584">
        <v>16</v>
      </c>
      <c r="D7" t="s">
        <v>1717</v>
      </c>
      <c r="E7" s="163">
        <f>COUNT(A4:A14)</f>
        <v>11</v>
      </c>
      <c r="G7" t="e">
        <f ca="1">FTEXT(E7)</f>
        <v>#NAME?</v>
      </c>
      <c r="I7" t="s">
        <v>1717</v>
      </c>
      <c r="J7" s="163">
        <f>COUNT(A4:A14)</f>
        <v>11</v>
      </c>
      <c r="L7" t="e">
        <f ca="1">FTEXT(J7)</f>
        <v>#NAME?</v>
      </c>
    </row>
    <row r="8" spans="1:12" x14ac:dyDescent="0.25">
      <c r="A8" s="584">
        <v>20</v>
      </c>
      <c r="B8" s="584">
        <v>12</v>
      </c>
      <c r="D8" t="s">
        <v>1718</v>
      </c>
      <c r="E8" s="163">
        <f>COUNT(B4:B14)</f>
        <v>10</v>
      </c>
      <c r="G8" t="e">
        <f ca="1">FTEXT(E8)</f>
        <v>#NAME?</v>
      </c>
      <c r="I8" t="s">
        <v>1718</v>
      </c>
      <c r="J8" s="163">
        <f>COUNT(B4:B14)</f>
        <v>10</v>
      </c>
      <c r="L8" t="e">
        <f ca="1">FTEXT(J8)</f>
        <v>#NAME?</v>
      </c>
    </row>
    <row r="9" spans="1:12" x14ac:dyDescent="0.25">
      <c r="A9" s="584">
        <v>15</v>
      </c>
      <c r="B9" s="584">
        <v>14</v>
      </c>
      <c r="D9" t="s">
        <v>168</v>
      </c>
      <c r="E9" s="163">
        <f>E7+E8-2</f>
        <v>19</v>
      </c>
      <c r="G9" t="e">
        <f ca="1">FTEXT(E9)</f>
        <v>#NAME?</v>
      </c>
      <c r="I9" t="s">
        <v>168</v>
      </c>
      <c r="J9" s="163">
        <f>J7+J8-2</f>
        <v>19</v>
      </c>
      <c r="L9" t="e">
        <f ca="1">FTEXT(J9)</f>
        <v>#NAME?</v>
      </c>
    </row>
    <row r="10" spans="1:12" x14ac:dyDescent="0.25">
      <c r="A10" s="584">
        <v>18</v>
      </c>
      <c r="B10" s="584">
        <v>10</v>
      </c>
      <c r="D10" t="s">
        <v>1719</v>
      </c>
      <c r="E10" s="163">
        <f>SQRT(((E7-1)*E5^2+(E8-1)*E6^2)/E9)</f>
        <v>3.9590608330039392</v>
      </c>
      <c r="G10" t="e">
        <f ca="1">FTEXT(E10)</f>
        <v>#NAME?</v>
      </c>
      <c r="I10" t="s">
        <v>1719</v>
      </c>
      <c r="J10" s="163">
        <f>SQRT(((J7-1)*J5^2+(J8-1)*J6^2)/J9)</f>
        <v>3.9590608330039392</v>
      </c>
      <c r="L10" t="e">
        <f ca="1">FTEXT(J10)</f>
        <v>#NAME?</v>
      </c>
    </row>
    <row r="11" spans="1:12" x14ac:dyDescent="0.25">
      <c r="A11" s="584">
        <v>9</v>
      </c>
      <c r="B11" s="584">
        <v>18</v>
      </c>
      <c r="D11" t="s">
        <v>262</v>
      </c>
      <c r="E11" s="163">
        <v>0.05</v>
      </c>
      <c r="I11" t="s">
        <v>262</v>
      </c>
      <c r="J11" s="163">
        <v>0.05</v>
      </c>
    </row>
    <row r="12" spans="1:12" x14ac:dyDescent="0.25">
      <c r="A12" s="584">
        <v>12</v>
      </c>
      <c r="B12" s="584">
        <v>4</v>
      </c>
      <c r="D12" t="s">
        <v>1708</v>
      </c>
      <c r="E12" s="163">
        <f>(E3-E4)/E10</f>
        <v>0.96211982330182055</v>
      </c>
      <c r="G12" t="e">
        <f ca="1">FTEXT(E12)</f>
        <v>#NAME?</v>
      </c>
      <c r="I12" t="s">
        <v>1708</v>
      </c>
      <c r="J12" s="163">
        <f>(J3-J4)/J10</f>
        <v>0.96211982330182055</v>
      </c>
      <c r="L12" t="e">
        <f ca="1">FTEXT(J12)</f>
        <v>#NAME?</v>
      </c>
    </row>
    <row r="13" spans="1:12" x14ac:dyDescent="0.25">
      <c r="A13" s="584">
        <v>15</v>
      </c>
      <c r="B13" s="584">
        <v>11</v>
      </c>
      <c r="D13" s="408" t="s">
        <v>357</v>
      </c>
      <c r="E13" s="163">
        <f>NORMSINV(1-E11/2)</f>
        <v>1.9599639845400536</v>
      </c>
      <c r="G13" s="22" t="s">
        <v>1720</v>
      </c>
      <c r="I13" s="408" t="s">
        <v>1721</v>
      </c>
      <c r="J13" s="163">
        <f>HARMEAN(J7,J8)</f>
        <v>10.476190476190476</v>
      </c>
      <c r="L13" t="e">
        <f ca="1">FTEXT(J13)</f>
        <v>#NAME?</v>
      </c>
    </row>
    <row r="14" spans="1:12" x14ac:dyDescent="0.25">
      <c r="A14" s="462">
        <v>16</v>
      </c>
      <c r="B14" s="462"/>
      <c r="D14" s="408" t="s">
        <v>1700</v>
      </c>
      <c r="E14" s="163">
        <f>SQRT((E7+E8)/(E7*E8)+E12^2/(2*(E7+E8)))</f>
        <v>0.46146393277451031</v>
      </c>
      <c r="G14" t="e">
        <f ca="1">FTEXT(E14)</f>
        <v>#NAME?</v>
      </c>
      <c r="I14" s="408" t="s">
        <v>1710</v>
      </c>
      <c r="J14" s="163">
        <f>J12*SQRT(J13/2)</f>
        <v>2.2019926147419073</v>
      </c>
      <c r="L14" t="e">
        <f ca="1">FTEXT(J14)</f>
        <v>#NAME?</v>
      </c>
    </row>
    <row r="15" spans="1:12" x14ac:dyDescent="0.25">
      <c r="D15" s="408" t="s">
        <v>1220</v>
      </c>
      <c r="E15" s="163">
        <f>E12-E14*E13</f>
        <v>5.7667134899567873E-2</v>
      </c>
      <c r="G15" t="e">
        <f ca="1">FTEXT(E15)</f>
        <v>#NAME?</v>
      </c>
      <c r="I15" s="408" t="s">
        <v>1220</v>
      </c>
      <c r="J15" s="163" t="e">
        <f ca="1">NT_NCP(1-J11/2,J9,J14)/SQRT(J13/2)</f>
        <v>#NAME?</v>
      </c>
      <c r="L15" t="e">
        <f ca="1">FTEXT(J15)</f>
        <v>#NAME?</v>
      </c>
    </row>
    <row r="16" spans="1:12" x14ac:dyDescent="0.25">
      <c r="D16" s="408" t="s">
        <v>1221</v>
      </c>
      <c r="E16" s="155">
        <f>E12+E14*E13</f>
        <v>1.8665725117040732</v>
      </c>
      <c r="G16" t="e">
        <f ca="1">FTEXT(E16)</f>
        <v>#NAME?</v>
      </c>
      <c r="I16" s="408" t="s">
        <v>1221</v>
      </c>
      <c r="J16" s="155" t="e">
        <f ca="1">NT_NCP(J11/2,J9,J14)/SQRT(J13/2)</f>
        <v>#NAME?</v>
      </c>
      <c r="L16" t="e">
        <f ca="1">FTEXT(J16)</f>
        <v>#NAME?</v>
      </c>
    </row>
    <row r="18" spans="4:12" x14ac:dyDescent="0.25">
      <c r="D18" s="408" t="s">
        <v>1711</v>
      </c>
      <c r="E18" s="205">
        <f>E12*(1-3/(4*E9-1))</f>
        <v>0.9236350303697477</v>
      </c>
      <c r="G18" t="e">
        <f ca="1">FTEXT(E18)</f>
        <v>#NAME?</v>
      </c>
      <c r="I18" s="408" t="s">
        <v>1711</v>
      </c>
      <c r="J18" s="205">
        <f>J12*(1-3/(4*J9-1))</f>
        <v>0.9236350303697477</v>
      </c>
      <c r="L18" t="e">
        <f ca="1">FTEXT(J18)</f>
        <v>#NAME?</v>
      </c>
    </row>
    <row r="20" spans="4:12" x14ac:dyDescent="0.25">
      <c r="D20" t="e">
        <f t="array" aca="1" ref="D20:E23" ca="1">T_EFFECT2(E3,E4,E5,E6,E7,E8,TRUE,E11,0)</f>
        <v>#NAME?</v>
      </c>
      <c r="E20" s="486" t="e">
        <f ca="1"/>
        <v>#NAME?</v>
      </c>
      <c r="I20" t="e">
        <f t="array" aca="1" ref="I20:J23" ca="1">T_EFFECT2(E3,E4,E5,E6,E7,E8,TRUE,E11)</f>
        <v>#NAME?</v>
      </c>
      <c r="J20" s="486" t="e">
        <f ca="1"/>
        <v>#NAME?</v>
      </c>
    </row>
    <row r="21" spans="4:12" x14ac:dyDescent="0.25">
      <c r="D21" t="e">
        <f ca="1"/>
        <v>#NAME?</v>
      </c>
      <c r="E21" s="163" t="e">
        <f ca="1"/>
        <v>#NAME?</v>
      </c>
      <c r="I21" t="e">
        <f ca="1"/>
        <v>#NAME?</v>
      </c>
      <c r="J21" s="163" t="e">
        <f ca="1"/>
        <v>#NAME?</v>
      </c>
    </row>
    <row r="22" spans="4:12" x14ac:dyDescent="0.25">
      <c r="D22" t="e">
        <f ca="1"/>
        <v>#NAME?</v>
      </c>
      <c r="E22" s="163" t="e">
        <f ca="1"/>
        <v>#NAME?</v>
      </c>
      <c r="I22" t="e">
        <f ca="1"/>
        <v>#NAME?</v>
      </c>
      <c r="J22" s="163" t="e">
        <f ca="1"/>
        <v>#NAME?</v>
      </c>
    </row>
    <row r="23" spans="4:12" x14ac:dyDescent="0.25">
      <c r="D23" t="e">
        <f ca="1"/>
        <v>#NAME?</v>
      </c>
      <c r="E23" s="155" t="e">
        <f ca="1"/>
        <v>#NAME?</v>
      </c>
      <c r="I23" t="e">
        <f ca="1"/>
        <v>#NAME?</v>
      </c>
      <c r="J23" s="155" t="e">
        <f ca="1"/>
        <v>#NAME?</v>
      </c>
    </row>
    <row r="25" spans="4:12" x14ac:dyDescent="0.25">
      <c r="D25" t="e">
        <f ca="1">FTEXT(E20)</f>
        <v>#NAME?</v>
      </c>
      <c r="I25" t="e">
        <f ca="1">FTEXT(J20)</f>
        <v>#NAME?</v>
      </c>
    </row>
    <row r="27" spans="4:12" x14ac:dyDescent="0.25">
      <c r="D27" t="e">
        <f t="array" aca="1" ref="D27:E30" ca="1">TT_EFFECT2(A4:A14,B4:B14,TRUE,E11,0)</f>
        <v>#NAME?</v>
      </c>
      <c r="E27" s="486" t="e">
        <f ca="1"/>
        <v>#NAME?</v>
      </c>
      <c r="I27" t="e">
        <f t="array" aca="1" ref="I27:J30" ca="1">TT_EFFECT2(A4:A14,B4:B14,TRUE,E11)</f>
        <v>#NAME?</v>
      </c>
      <c r="J27" s="486" t="e">
        <f ca="1"/>
        <v>#NAME?</v>
      </c>
    </row>
    <row r="28" spans="4:12" x14ac:dyDescent="0.25">
      <c r="D28" t="e">
        <f ca="1"/>
        <v>#NAME?</v>
      </c>
      <c r="E28" s="163" t="e">
        <f ca="1"/>
        <v>#NAME?</v>
      </c>
      <c r="I28" t="e">
        <f ca="1"/>
        <v>#NAME?</v>
      </c>
      <c r="J28" s="163" t="e">
        <f ca="1"/>
        <v>#NAME?</v>
      </c>
    </row>
    <row r="29" spans="4:12" x14ac:dyDescent="0.25">
      <c r="D29" t="e">
        <f ca="1"/>
        <v>#NAME?</v>
      </c>
      <c r="E29" s="163" t="e">
        <f ca="1"/>
        <v>#NAME?</v>
      </c>
      <c r="I29" t="e">
        <f ca="1"/>
        <v>#NAME?</v>
      </c>
      <c r="J29" s="163" t="e">
        <f ca="1"/>
        <v>#NAME?</v>
      </c>
    </row>
    <row r="30" spans="4:12" x14ac:dyDescent="0.25">
      <c r="D30" t="e">
        <f ca="1"/>
        <v>#NAME?</v>
      </c>
      <c r="E30" s="155" t="e">
        <f ca="1"/>
        <v>#NAME?</v>
      </c>
      <c r="I30" t="e">
        <f ca="1"/>
        <v>#NAME?</v>
      </c>
      <c r="J30" s="155" t="e">
        <f ca="1"/>
        <v>#NAME?</v>
      </c>
    </row>
    <row r="32" spans="4:12" x14ac:dyDescent="0.25">
      <c r="D32" t="e">
        <f ca="1">FTEXT(E27)</f>
        <v>#NAME?</v>
      </c>
      <c r="I32" t="e">
        <f ca="1">FTEXT(J27)</f>
        <v>#NAME?</v>
      </c>
    </row>
    <row r="34" spans="9:10" x14ac:dyDescent="0.25">
      <c r="I34" t="e">
        <f t="array" aca="1" ref="I34:J36" ca="1">T2_POWER_CONF(J12,J7,J8,2,TRUE)</f>
        <v>#NAME?</v>
      </c>
      <c r="J34" s="486" t="e">
        <f ca="1"/>
        <v>#NAME?</v>
      </c>
    </row>
    <row r="35" spans="9:10" x14ac:dyDescent="0.25">
      <c r="I35" t="e">
        <f ca="1"/>
        <v>#NAME?</v>
      </c>
      <c r="J35" s="163" t="e">
        <f ca="1"/>
        <v>#NAME?</v>
      </c>
    </row>
    <row r="36" spans="9:10" x14ac:dyDescent="0.25">
      <c r="I36" t="e">
        <f ca="1"/>
        <v>#NAME?</v>
      </c>
      <c r="J36" s="155" t="e">
        <f ca="1"/>
        <v>#NAME?</v>
      </c>
    </row>
    <row r="38" spans="9:10" x14ac:dyDescent="0.25">
      <c r="I38" t="e">
        <f ca="1">FTEXT(I34)</f>
        <v>#NAME?</v>
      </c>
    </row>
  </sheetData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T54"/>
  <sheetViews>
    <sheetView workbookViewId="0"/>
  </sheetViews>
  <sheetFormatPr defaultRowHeight="15" x14ac:dyDescent="0.25"/>
  <cols>
    <col min="4" max="4" width="10.42578125" customWidth="1"/>
    <col min="6" max="6" width="21.85546875" customWidth="1"/>
    <col min="8" max="8" width="9.42578125" customWidth="1"/>
    <col min="11" max="11" width="6.7109375" customWidth="1"/>
    <col min="12" max="12" width="9.85546875" customWidth="1"/>
    <col min="13" max="20" width="9.140625" customWidth="1"/>
    <col min="21" max="24" width="6.7109375" customWidth="1"/>
    <col min="25" max="25" width="7.28515625" customWidth="1"/>
  </cols>
  <sheetData>
    <row r="1" spans="1:11" x14ac:dyDescent="0.25">
      <c r="A1" s="1" t="s">
        <v>221</v>
      </c>
    </row>
    <row r="3" spans="1:11" x14ac:dyDescent="0.25">
      <c r="A3" s="461" t="s">
        <v>222</v>
      </c>
      <c r="B3" s="461" t="s">
        <v>223</v>
      </c>
      <c r="C3" s="461" t="s">
        <v>224</v>
      </c>
      <c r="D3" s="461" t="s">
        <v>225</v>
      </c>
      <c r="F3" t="s">
        <v>226</v>
      </c>
      <c r="J3" t="s">
        <v>699</v>
      </c>
    </row>
    <row r="4" spans="1:11" ht="15.75" thickBot="1" x14ac:dyDescent="0.3">
      <c r="A4" s="74">
        <v>1</v>
      </c>
      <c r="B4" s="74">
        <v>210</v>
      </c>
      <c r="C4" s="74">
        <v>197</v>
      </c>
      <c r="D4" s="74">
        <f>B4-C4</f>
        <v>13</v>
      </c>
    </row>
    <row r="5" spans="1:11" x14ac:dyDescent="0.25">
      <c r="A5" s="74">
        <f>A4+1</f>
        <v>2</v>
      </c>
      <c r="B5" s="74">
        <v>205</v>
      </c>
      <c r="C5" s="74">
        <v>195</v>
      </c>
      <c r="D5" s="74">
        <f t="shared" ref="D5:D18" si="0">B5-C5</f>
        <v>10</v>
      </c>
      <c r="F5" s="26"/>
      <c r="G5" s="26" t="s">
        <v>223</v>
      </c>
      <c r="H5" s="26" t="s">
        <v>224</v>
      </c>
      <c r="K5" s="126" t="str">
        <f>D3</f>
        <v>Difference</v>
      </c>
    </row>
    <row r="6" spans="1:11" x14ac:dyDescent="0.25">
      <c r="A6" s="74">
        <f t="shared" ref="A6:A18" si="1">A5+1</f>
        <v>3</v>
      </c>
      <c r="B6" s="74">
        <v>193</v>
      </c>
      <c r="C6" s="74">
        <v>191</v>
      </c>
      <c r="D6" s="74">
        <f t="shared" si="0"/>
        <v>2</v>
      </c>
      <c r="F6" s="27" t="s">
        <v>75</v>
      </c>
      <c r="G6" s="27">
        <v>207.93333333333334</v>
      </c>
      <c r="H6" s="27">
        <v>197</v>
      </c>
      <c r="J6" t="s">
        <v>142</v>
      </c>
      <c r="K6" s="509">
        <f>MIN(D4:D18)</f>
        <v>1</v>
      </c>
    </row>
    <row r="7" spans="1:11" x14ac:dyDescent="0.25">
      <c r="A7" s="74">
        <f t="shared" si="1"/>
        <v>4</v>
      </c>
      <c r="B7" s="74">
        <v>182</v>
      </c>
      <c r="C7" s="74">
        <v>174</v>
      </c>
      <c r="D7" s="74">
        <f t="shared" si="0"/>
        <v>8</v>
      </c>
      <c r="F7" s="27" t="s">
        <v>204</v>
      </c>
      <c r="G7" s="27">
        <v>815.78095238095352</v>
      </c>
      <c r="H7" s="27">
        <v>595</v>
      </c>
      <c r="J7" t="s">
        <v>143</v>
      </c>
      <c r="K7" s="238">
        <f>QUARTILE(D4:D18,1)-K6</f>
        <v>5.5</v>
      </c>
    </row>
    <row r="8" spans="1:11" x14ac:dyDescent="0.25">
      <c r="A8" s="74">
        <f t="shared" si="1"/>
        <v>5</v>
      </c>
      <c r="B8" s="74">
        <v>259</v>
      </c>
      <c r="C8" s="74">
        <v>236</v>
      </c>
      <c r="D8" s="74">
        <f t="shared" si="0"/>
        <v>23</v>
      </c>
      <c r="F8" s="27" t="s">
        <v>205</v>
      </c>
      <c r="G8" s="27">
        <v>15</v>
      </c>
      <c r="H8" s="27">
        <v>15</v>
      </c>
      <c r="J8" t="s">
        <v>144</v>
      </c>
      <c r="K8" s="238">
        <f>MEDIAN(D4:D18)-QUARTILE(D4:D18,1)</f>
        <v>4.5</v>
      </c>
    </row>
    <row r="9" spans="1:11" x14ac:dyDescent="0.25">
      <c r="A9" s="74">
        <f t="shared" si="1"/>
        <v>6</v>
      </c>
      <c r="B9" s="74">
        <v>239</v>
      </c>
      <c r="C9" s="74">
        <v>226</v>
      </c>
      <c r="D9" s="74">
        <f t="shared" si="0"/>
        <v>13</v>
      </c>
      <c r="F9" s="27" t="s">
        <v>227</v>
      </c>
      <c r="G9" s="27">
        <v>0.98372040550231976</v>
      </c>
      <c r="H9" s="27"/>
      <c r="J9" t="s">
        <v>145</v>
      </c>
      <c r="K9" s="238">
        <f>QUARTILE(D4:D18,3)-MEDIAN(D4:D18)</f>
        <v>3.5</v>
      </c>
    </row>
    <row r="10" spans="1:11" x14ac:dyDescent="0.25">
      <c r="A10" s="74">
        <f t="shared" si="1"/>
        <v>7</v>
      </c>
      <c r="B10" s="74">
        <v>164</v>
      </c>
      <c r="C10" s="74">
        <v>157</v>
      </c>
      <c r="D10" s="74">
        <f t="shared" si="0"/>
        <v>7</v>
      </c>
      <c r="F10" s="27" t="s">
        <v>208</v>
      </c>
      <c r="G10" s="27">
        <v>0</v>
      </c>
      <c r="H10" s="27"/>
      <c r="J10" t="s">
        <v>146</v>
      </c>
      <c r="K10" s="238">
        <f>MAX(D4:D18)-QUARTILE(D4:D18,3)</f>
        <v>8.5</v>
      </c>
    </row>
    <row r="11" spans="1:11" x14ac:dyDescent="0.25">
      <c r="A11" s="74">
        <f t="shared" si="1"/>
        <v>8</v>
      </c>
      <c r="B11" s="74">
        <v>197</v>
      </c>
      <c r="C11" s="74">
        <v>196</v>
      </c>
      <c r="D11" s="74">
        <f t="shared" si="0"/>
        <v>1</v>
      </c>
      <c r="F11" s="27" t="s">
        <v>168</v>
      </c>
      <c r="G11" s="27">
        <v>14</v>
      </c>
      <c r="H11" s="27"/>
      <c r="J11" t="s">
        <v>75</v>
      </c>
      <c r="K11" s="272">
        <f>AVERAGE(D4:D18)</f>
        <v>10.933333333333334</v>
      </c>
    </row>
    <row r="12" spans="1:11" x14ac:dyDescent="0.25">
      <c r="A12" s="74">
        <f t="shared" si="1"/>
        <v>9</v>
      </c>
      <c r="B12" s="74">
        <v>222</v>
      </c>
      <c r="C12" s="74">
        <v>201</v>
      </c>
      <c r="D12" s="74">
        <f t="shared" si="0"/>
        <v>21</v>
      </c>
      <c r="F12" s="27" t="s">
        <v>210</v>
      </c>
      <c r="G12" s="27">
        <v>6.6896995348736343</v>
      </c>
      <c r="H12" s="27"/>
    </row>
    <row r="13" spans="1:11" x14ac:dyDescent="0.25">
      <c r="A13" s="74">
        <f t="shared" si="1"/>
        <v>10</v>
      </c>
      <c r="B13" s="74">
        <v>211</v>
      </c>
      <c r="C13" s="74">
        <v>196</v>
      </c>
      <c r="D13" s="74">
        <f t="shared" si="0"/>
        <v>15</v>
      </c>
      <c r="F13" s="27" t="s">
        <v>211</v>
      </c>
      <c r="G13" s="27">
        <v>5.1378281403488676E-6</v>
      </c>
      <c r="H13" s="27"/>
    </row>
    <row r="14" spans="1:11" x14ac:dyDescent="0.25">
      <c r="A14" s="74">
        <f t="shared" si="1"/>
        <v>11</v>
      </c>
      <c r="B14" s="74">
        <v>187</v>
      </c>
      <c r="C14" s="74">
        <v>181</v>
      </c>
      <c r="D14" s="74">
        <f t="shared" si="0"/>
        <v>6</v>
      </c>
      <c r="F14" s="27" t="s">
        <v>212</v>
      </c>
      <c r="G14" s="27">
        <v>1.7613101150619617</v>
      </c>
      <c r="H14" s="27"/>
    </row>
    <row r="15" spans="1:11" x14ac:dyDescent="0.25">
      <c r="A15" s="74">
        <f t="shared" si="1"/>
        <v>12</v>
      </c>
      <c r="B15" s="74">
        <v>175</v>
      </c>
      <c r="C15" s="74">
        <v>164</v>
      </c>
      <c r="D15" s="74">
        <f t="shared" si="0"/>
        <v>11</v>
      </c>
      <c r="F15" s="27" t="s">
        <v>213</v>
      </c>
      <c r="G15" s="27">
        <v>1.0275656280697735E-5</v>
      </c>
      <c r="H15" s="27"/>
    </row>
    <row r="16" spans="1:11" ht="15.75" thickBot="1" x14ac:dyDescent="0.3">
      <c r="A16" s="74">
        <f t="shared" si="1"/>
        <v>13</v>
      </c>
      <c r="B16" s="74">
        <v>186</v>
      </c>
      <c r="C16" s="74">
        <v>181</v>
      </c>
      <c r="D16" s="74">
        <f t="shared" si="0"/>
        <v>5</v>
      </c>
      <c r="F16" s="30" t="s">
        <v>215</v>
      </c>
      <c r="G16" s="30">
        <v>2.1447866812820848</v>
      </c>
      <c r="H16" s="30"/>
    </row>
    <row r="17" spans="1:8" x14ac:dyDescent="0.25">
      <c r="A17" s="74">
        <f t="shared" si="1"/>
        <v>14</v>
      </c>
      <c r="B17" s="74">
        <v>243</v>
      </c>
      <c r="C17" s="74">
        <v>229</v>
      </c>
      <c r="D17" s="74">
        <f t="shared" si="0"/>
        <v>14</v>
      </c>
      <c r="F17" s="27"/>
      <c r="G17" s="27"/>
      <c r="H17" s="27"/>
    </row>
    <row r="18" spans="1:8" x14ac:dyDescent="0.25">
      <c r="A18" s="462">
        <f t="shared" si="1"/>
        <v>15</v>
      </c>
      <c r="B18" s="462">
        <v>246</v>
      </c>
      <c r="C18" s="462">
        <v>231</v>
      </c>
      <c r="D18" s="462">
        <f t="shared" si="0"/>
        <v>15</v>
      </c>
    </row>
    <row r="20" spans="1:8" x14ac:dyDescent="0.25">
      <c r="A20" s="74" t="s">
        <v>63</v>
      </c>
      <c r="D20" s="74">
        <f>AVERAGE(D4:D18)</f>
        <v>10.933333333333334</v>
      </c>
    </row>
    <row r="21" spans="1:8" x14ac:dyDescent="0.25">
      <c r="A21" s="74" t="s">
        <v>199</v>
      </c>
      <c r="D21" s="74">
        <f>STDEV(D4:D18)</f>
        <v>6.3298235889056711</v>
      </c>
    </row>
    <row r="23" spans="1:8" x14ac:dyDescent="0.25">
      <c r="A23" t="s">
        <v>228</v>
      </c>
      <c r="D23">
        <f>COUNT(D4:D18)</f>
        <v>15</v>
      </c>
      <c r="F23" s="22" t="s">
        <v>229</v>
      </c>
    </row>
    <row r="24" spans="1:8" x14ac:dyDescent="0.25">
      <c r="A24" t="s">
        <v>230</v>
      </c>
      <c r="D24">
        <f>D21/SQRT(D23)</f>
        <v>1.634353422950835</v>
      </c>
      <c r="F24" s="22" t="s">
        <v>231</v>
      </c>
    </row>
    <row r="25" spans="1:8" x14ac:dyDescent="0.25">
      <c r="A25" t="s">
        <v>232</v>
      </c>
      <c r="D25">
        <f>(D20-0)/D24</f>
        <v>6.6896995348736343</v>
      </c>
      <c r="F25" s="22" t="s">
        <v>233</v>
      </c>
    </row>
    <row r="26" spans="1:8" x14ac:dyDescent="0.25">
      <c r="A26" t="s">
        <v>234</v>
      </c>
      <c r="D26">
        <f>D23-1</f>
        <v>14</v>
      </c>
      <c r="F26" s="22" t="s">
        <v>235</v>
      </c>
    </row>
    <row r="28" spans="1:8" x14ac:dyDescent="0.25">
      <c r="A28" t="s">
        <v>182</v>
      </c>
      <c r="D28">
        <f>TDIST(D25,D26,2)</f>
        <v>1.0275656281485417E-5</v>
      </c>
      <c r="F28" s="22" t="s">
        <v>236</v>
      </c>
    </row>
    <row r="29" spans="1:8" x14ac:dyDescent="0.25">
      <c r="A29" t="s">
        <v>182</v>
      </c>
      <c r="D29">
        <f>TTEST(B4:B18,C4:C18,2,1)</f>
        <v>1.0275656281484968E-5</v>
      </c>
      <c r="F29" s="22" t="s">
        <v>237</v>
      </c>
    </row>
    <row r="30" spans="1:8" x14ac:dyDescent="0.25">
      <c r="F30" s="22"/>
    </row>
    <row r="31" spans="1:8" x14ac:dyDescent="0.25">
      <c r="A31" t="s">
        <v>183</v>
      </c>
      <c r="D31">
        <f>TINV(0.05,D26)</f>
        <v>2.1447866879178044</v>
      </c>
      <c r="F31" s="22" t="s">
        <v>238</v>
      </c>
    </row>
    <row r="34" spans="1:20" x14ac:dyDescent="0.25">
      <c r="A34" t="s">
        <v>239</v>
      </c>
      <c r="F34" t="s">
        <v>201</v>
      </c>
      <c r="L34" t="s">
        <v>245</v>
      </c>
    </row>
    <row r="35" spans="1:20" ht="15.75" thickBot="1" x14ac:dyDescent="0.3"/>
    <row r="36" spans="1:20" ht="15.75" thickBot="1" x14ac:dyDescent="0.3">
      <c r="A36" s="74" t="s">
        <v>222</v>
      </c>
      <c r="B36" s="74" t="s">
        <v>223</v>
      </c>
      <c r="C36" s="74" t="s">
        <v>224</v>
      </c>
      <c r="F36" s="26"/>
      <c r="G36" s="26" t="s">
        <v>223</v>
      </c>
      <c r="H36" s="26" t="s">
        <v>224</v>
      </c>
      <c r="L36" t="s">
        <v>176</v>
      </c>
      <c r="O36" t="s">
        <v>114</v>
      </c>
      <c r="P36">
        <v>0.05</v>
      </c>
      <c r="R36" t="s">
        <v>202</v>
      </c>
      <c r="S36">
        <v>0</v>
      </c>
    </row>
    <row r="37" spans="1:20" ht="15.75" thickTop="1" x14ac:dyDescent="0.25">
      <c r="A37" s="74">
        <v>1</v>
      </c>
      <c r="B37" s="74">
        <v>210</v>
      </c>
      <c r="C37" s="74">
        <v>197</v>
      </c>
      <c r="F37" s="27" t="s">
        <v>75</v>
      </c>
      <c r="G37" s="27">
        <v>207.93333333333334</v>
      </c>
      <c r="H37" s="27">
        <v>197</v>
      </c>
      <c r="L37" s="291" t="s">
        <v>203</v>
      </c>
      <c r="M37" s="291" t="s">
        <v>87</v>
      </c>
      <c r="N37" s="291" t="s">
        <v>75</v>
      </c>
      <c r="O37" s="291" t="s">
        <v>164</v>
      </c>
      <c r="P37" s="291" t="s">
        <v>165</v>
      </c>
      <c r="Q37" s="291" t="s">
        <v>177</v>
      </c>
      <c r="R37" s="291" t="s">
        <v>168</v>
      </c>
      <c r="S37" s="291" t="s">
        <v>178</v>
      </c>
      <c r="T37" s="291" t="s">
        <v>179</v>
      </c>
    </row>
    <row r="38" spans="1:20" x14ac:dyDescent="0.25">
      <c r="A38" s="74">
        <f>A37+1</f>
        <v>2</v>
      </c>
      <c r="B38" s="74">
        <v>205</v>
      </c>
      <c r="C38" s="74">
        <v>195</v>
      </c>
      <c r="F38" s="27" t="s">
        <v>204</v>
      </c>
      <c r="G38" s="27">
        <v>815.78095238095352</v>
      </c>
      <c r="H38" s="27">
        <v>595</v>
      </c>
      <c r="L38" t="str">
        <f>B3</f>
        <v>Before</v>
      </c>
      <c r="M38">
        <f>COUNT(B4:B18)</f>
        <v>15</v>
      </c>
      <c r="N38">
        <f>AVERAGE(B4:B18)</f>
        <v>207.93333333333334</v>
      </c>
      <c r="O38">
        <f>STDEV(B4:B18)</f>
        <v>28.561879356599654</v>
      </c>
    </row>
    <row r="39" spans="1:20" x14ac:dyDescent="0.25">
      <c r="A39" s="74">
        <f t="shared" ref="A39:A51" si="2">A38+1</f>
        <v>3</v>
      </c>
      <c r="B39" s="74">
        <v>193</v>
      </c>
      <c r="C39" s="74">
        <v>191</v>
      </c>
      <c r="F39" s="27" t="s">
        <v>205</v>
      </c>
      <c r="G39" s="27">
        <v>15</v>
      </c>
      <c r="H39" s="27">
        <v>15</v>
      </c>
      <c r="L39" t="str">
        <f>C3</f>
        <v>After</v>
      </c>
      <c r="M39">
        <f>COUNT(C4:C18)</f>
        <v>15</v>
      </c>
      <c r="N39">
        <f>AVERAGE(C4:C18)</f>
        <v>197</v>
      </c>
      <c r="O39">
        <f>STDEV(C4:C18)</f>
        <v>24.392621835300936</v>
      </c>
    </row>
    <row r="40" spans="1:20" x14ac:dyDescent="0.25">
      <c r="A40" s="74">
        <f t="shared" si="2"/>
        <v>4</v>
      </c>
      <c r="B40" s="74">
        <v>182</v>
      </c>
      <c r="C40" s="74">
        <v>174</v>
      </c>
      <c r="F40" s="27" t="s">
        <v>207</v>
      </c>
      <c r="G40" s="27">
        <v>705.39047619047676</v>
      </c>
      <c r="H40" s="27"/>
      <c r="L40" s="292" t="s">
        <v>225</v>
      </c>
      <c r="M40" s="292">
        <f>M39</f>
        <v>15</v>
      </c>
      <c r="N40" s="292">
        <f>N38-N39</f>
        <v>10.933333333333337</v>
      </c>
      <c r="O40" s="292">
        <f t="array" ref="O40">STDEV(B4:B18-C4:C18)</f>
        <v>6.3298235889056711</v>
      </c>
      <c r="P40" s="292">
        <f>O40/SQRT(M40)</f>
        <v>1.634353422950835</v>
      </c>
      <c r="Q40" s="292">
        <f>(N38-N39-S36)/P40</f>
        <v>6.689699534873637</v>
      </c>
      <c r="R40" s="292">
        <f>M40-1</f>
        <v>14</v>
      </c>
      <c r="S40" s="292">
        <f>ABS(N38-N39-S36)/O40</f>
        <v>1.7272729926464732</v>
      </c>
      <c r="T40" s="292">
        <f>SQRT(Q40^2/(Q40^2+R40))</f>
        <v>0.87276031278909716</v>
      </c>
    </row>
    <row r="41" spans="1:20" x14ac:dyDescent="0.25">
      <c r="A41" s="74">
        <f t="shared" si="2"/>
        <v>5</v>
      </c>
      <c r="B41" s="74">
        <v>259</v>
      </c>
      <c r="C41" s="74">
        <v>236</v>
      </c>
      <c r="F41" s="27" t="s">
        <v>208</v>
      </c>
      <c r="G41" s="27">
        <v>0</v>
      </c>
      <c r="H41" s="27"/>
    </row>
    <row r="42" spans="1:20" ht="15.75" thickBot="1" x14ac:dyDescent="0.3">
      <c r="A42" s="74">
        <f t="shared" si="2"/>
        <v>6</v>
      </c>
      <c r="B42" s="74">
        <v>239</v>
      </c>
      <c r="C42" s="74">
        <v>226</v>
      </c>
      <c r="F42" s="27" t="s">
        <v>168</v>
      </c>
      <c r="G42" s="27">
        <v>28</v>
      </c>
      <c r="H42" s="27"/>
      <c r="L42" t="s">
        <v>180</v>
      </c>
    </row>
    <row r="43" spans="1:20" ht="15.75" thickTop="1" x14ac:dyDescent="0.25">
      <c r="A43" s="74">
        <f t="shared" si="2"/>
        <v>7</v>
      </c>
      <c r="B43" s="74">
        <v>164</v>
      </c>
      <c r="C43" s="74">
        <v>157</v>
      </c>
      <c r="F43" s="27" t="s">
        <v>210</v>
      </c>
      <c r="G43" s="27">
        <v>1.12737506457454</v>
      </c>
      <c r="H43" s="27"/>
      <c r="L43" s="291" t="s">
        <v>181</v>
      </c>
      <c r="M43" s="291" t="s">
        <v>182</v>
      </c>
      <c r="N43" s="291" t="s">
        <v>183</v>
      </c>
      <c r="O43" s="291" t="s">
        <v>102</v>
      </c>
      <c r="P43" s="291" t="s">
        <v>103</v>
      </c>
      <c r="Q43" s="291" t="s">
        <v>381</v>
      </c>
    </row>
    <row r="44" spans="1:20" x14ac:dyDescent="0.25">
      <c r="A44" s="74">
        <f t="shared" si="2"/>
        <v>8</v>
      </c>
      <c r="B44" s="74">
        <v>197</v>
      </c>
      <c r="C44" s="74">
        <v>196</v>
      </c>
      <c r="F44" s="27" t="s">
        <v>211</v>
      </c>
      <c r="G44" s="27">
        <v>0.13457631306470508</v>
      </c>
      <c r="H44" s="27"/>
      <c r="L44" t="s">
        <v>185</v>
      </c>
      <c r="M44">
        <f>TDIST(ABS(Q40),R40,1)</f>
        <v>5.1378281407426804E-6</v>
      </c>
      <c r="N44">
        <f>TINV(P36*2,R40)</f>
        <v>1.7613101357748921</v>
      </c>
      <c r="Q44" s="342" t="str">
        <f>IF(M44&lt;P36,"yes","no")</f>
        <v>yes</v>
      </c>
    </row>
    <row r="45" spans="1:20" x14ac:dyDescent="0.25">
      <c r="A45" s="74">
        <f t="shared" si="2"/>
        <v>9</v>
      </c>
      <c r="B45" s="74">
        <v>222</v>
      </c>
      <c r="C45" s="74">
        <v>201</v>
      </c>
      <c r="F45" s="27" t="s">
        <v>212</v>
      </c>
      <c r="G45" s="27">
        <v>1.7011309076118102</v>
      </c>
      <c r="H45" s="27"/>
      <c r="L45" t="s">
        <v>186</v>
      </c>
      <c r="M45">
        <f>TDIST(ABS(Q40),R40,2)</f>
        <v>1.0275656281485361E-5</v>
      </c>
      <c r="N45">
        <f>TINV(P36,R40)</f>
        <v>2.1447866879178044</v>
      </c>
      <c r="O45">
        <f>(N38-N39)-P40*N45</f>
        <v>7.4279938684354896</v>
      </c>
      <c r="P45">
        <f>(N38-N39)+P40*N45</f>
        <v>14.438672798231185</v>
      </c>
      <c r="Q45" s="342" t="str">
        <f>IF(M45&lt;P36,"yes","no")</f>
        <v>yes</v>
      </c>
    </row>
    <row r="46" spans="1:20" x14ac:dyDescent="0.25">
      <c r="A46" s="74">
        <f t="shared" si="2"/>
        <v>10</v>
      </c>
      <c r="B46" s="74">
        <v>211</v>
      </c>
      <c r="C46" s="74">
        <v>196</v>
      </c>
      <c r="F46" s="27" t="s">
        <v>213</v>
      </c>
      <c r="G46" s="27">
        <v>0.26915262612941016</v>
      </c>
      <c r="H46" s="27"/>
      <c r="L46" s="292"/>
      <c r="M46" s="292"/>
      <c r="N46" s="292"/>
      <c r="O46" s="292"/>
      <c r="P46" s="292"/>
      <c r="Q46" s="292"/>
    </row>
    <row r="47" spans="1:20" ht="15.75" thickBot="1" x14ac:dyDescent="0.3">
      <c r="A47" s="74">
        <f t="shared" si="2"/>
        <v>11</v>
      </c>
      <c r="B47" s="74">
        <v>187</v>
      </c>
      <c r="C47" s="74">
        <v>181</v>
      </c>
      <c r="F47" s="30" t="s">
        <v>215</v>
      </c>
      <c r="G47" s="30">
        <v>2.0484071146628864</v>
      </c>
      <c r="H47" s="30"/>
    </row>
    <row r="48" spans="1:20" x14ac:dyDescent="0.25">
      <c r="A48" s="74">
        <f t="shared" si="2"/>
        <v>12</v>
      </c>
      <c r="B48" s="74">
        <v>175</v>
      </c>
      <c r="C48" s="74">
        <v>164</v>
      </c>
    </row>
    <row r="49" spans="1:8" x14ac:dyDescent="0.25">
      <c r="A49" s="74">
        <f t="shared" si="2"/>
        <v>13</v>
      </c>
      <c r="B49" s="74">
        <v>186</v>
      </c>
      <c r="C49" s="74">
        <v>181</v>
      </c>
    </row>
    <row r="50" spans="1:8" x14ac:dyDescent="0.25">
      <c r="A50" s="74">
        <f t="shared" si="2"/>
        <v>14</v>
      </c>
      <c r="B50" s="74">
        <v>243</v>
      </c>
      <c r="C50" s="74">
        <v>229</v>
      </c>
      <c r="G50" s="19" t="s">
        <v>240</v>
      </c>
      <c r="H50" s="19" t="s">
        <v>241</v>
      </c>
    </row>
    <row r="51" spans="1:8" x14ac:dyDescent="0.25">
      <c r="A51" s="74">
        <f t="shared" si="2"/>
        <v>15</v>
      </c>
      <c r="B51" s="74">
        <v>246</v>
      </c>
      <c r="C51" s="74">
        <v>231</v>
      </c>
      <c r="F51" t="s">
        <v>242</v>
      </c>
      <c r="G51" s="4">
        <f>D53</f>
        <v>10.933333333333337</v>
      </c>
      <c r="H51" s="6">
        <f>D20</f>
        <v>10.933333333333334</v>
      </c>
    </row>
    <row r="52" spans="1:8" x14ac:dyDescent="0.25">
      <c r="F52" t="s">
        <v>79</v>
      </c>
      <c r="G52" s="7" t="e">
        <f ca="1">D54</f>
        <v>#NAME?</v>
      </c>
      <c r="H52" s="9">
        <f>D21</f>
        <v>6.3298235889056711</v>
      </c>
    </row>
    <row r="53" spans="1:8" x14ac:dyDescent="0.25">
      <c r="A53" s="74" t="s">
        <v>63</v>
      </c>
      <c r="B53" s="74">
        <f>AVERAGE(B37:B51)</f>
        <v>207.93333333333334</v>
      </c>
      <c r="C53" s="74">
        <f>AVERAGE(C37:C51)</f>
        <v>197</v>
      </c>
      <c r="D53" s="74">
        <f>B53-C53</f>
        <v>10.933333333333337</v>
      </c>
      <c r="F53" t="s">
        <v>243</v>
      </c>
      <c r="G53" s="7">
        <f>G43</f>
        <v>1.12737506457454</v>
      </c>
      <c r="H53" s="9">
        <f>G12</f>
        <v>6.6896995348736343</v>
      </c>
    </row>
    <row r="54" spans="1:8" x14ac:dyDescent="0.25">
      <c r="A54" s="74" t="s">
        <v>199</v>
      </c>
      <c r="B54" s="74">
        <f>STDEV(B37:B51)</f>
        <v>28.561879356599654</v>
      </c>
      <c r="C54" s="74">
        <f>STDEV(C37:C51)</f>
        <v>24.392621835300936</v>
      </c>
      <c r="D54" s="74" t="e">
        <f ca="1">stdev_pooled(B37:B51,C37:C51)</f>
        <v>#NAME?</v>
      </c>
      <c r="F54" t="s">
        <v>244</v>
      </c>
      <c r="G54" s="10">
        <f>G46</f>
        <v>0.26915262612941016</v>
      </c>
      <c r="H54" s="12">
        <f>G15</f>
        <v>1.0275656280697735E-5</v>
      </c>
    </row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0"/>
  <dimension ref="A1:F10"/>
  <sheetViews>
    <sheetView workbookViewId="0"/>
  </sheetViews>
  <sheetFormatPr defaultRowHeight="15" x14ac:dyDescent="0.25"/>
  <sheetData>
    <row r="1" spans="1:6" x14ac:dyDescent="0.25">
      <c r="A1" s="1" t="s">
        <v>993</v>
      </c>
    </row>
    <row r="2" spans="1:6" x14ac:dyDescent="0.25">
      <c r="A2" s="1"/>
    </row>
    <row r="3" spans="1:6" x14ac:dyDescent="0.25">
      <c r="A3" s="24" t="s">
        <v>690</v>
      </c>
      <c r="E3" t="s">
        <v>693</v>
      </c>
    </row>
    <row r="5" spans="1:6" x14ac:dyDescent="0.25">
      <c r="A5" s="369">
        <v>3</v>
      </c>
      <c r="B5" s="370">
        <v>5</v>
      </c>
      <c r="C5" s="371">
        <v>8</v>
      </c>
      <c r="E5" s="316" t="e">
        <f t="array" aca="1" ref="E5:F10" ca="1">QSORT(A5:C8)</f>
        <v>#NAME?</v>
      </c>
      <c r="F5" s="317" t="e">
        <f ca="1"/>
        <v>#NAME?</v>
      </c>
    </row>
    <row r="6" spans="1:6" x14ac:dyDescent="0.25">
      <c r="A6" s="372">
        <v>15</v>
      </c>
      <c r="B6" s="145">
        <v>-1</v>
      </c>
      <c r="C6" s="373">
        <v>3</v>
      </c>
      <c r="E6" s="166" t="e">
        <f ca="1"/>
        <v>#NAME?</v>
      </c>
      <c r="F6" s="167" t="e">
        <f ca="1"/>
        <v>#NAME?</v>
      </c>
    </row>
    <row r="7" spans="1:6" x14ac:dyDescent="0.25">
      <c r="A7" s="372">
        <v>5</v>
      </c>
      <c r="B7" s="145">
        <v>2</v>
      </c>
      <c r="C7" s="373">
        <v>0</v>
      </c>
      <c r="E7" s="166" t="e">
        <f ca="1"/>
        <v>#NAME?</v>
      </c>
      <c r="F7" s="167" t="e">
        <f ca="1"/>
        <v>#NAME?</v>
      </c>
    </row>
    <row r="8" spans="1:6" x14ac:dyDescent="0.25">
      <c r="A8" s="374">
        <v>12</v>
      </c>
      <c r="B8" s="375">
        <v>-4</v>
      </c>
      <c r="C8" s="376">
        <v>8</v>
      </c>
      <c r="E8" s="166" t="e">
        <f ca="1"/>
        <v>#NAME?</v>
      </c>
      <c r="F8" s="167" t="e">
        <f ca="1"/>
        <v>#NAME?</v>
      </c>
    </row>
    <row r="9" spans="1:6" x14ac:dyDescent="0.25">
      <c r="E9" s="166" t="e">
        <f ca="1"/>
        <v>#NAME?</v>
      </c>
      <c r="F9" s="167" t="e">
        <f ca="1"/>
        <v>#NAME?</v>
      </c>
    </row>
    <row r="10" spans="1:6" x14ac:dyDescent="0.25">
      <c r="E10" s="148" t="e">
        <f ca="1"/>
        <v>#NAME?</v>
      </c>
      <c r="F10" s="153" t="e">
        <f ca="1"/>
        <v>#NAME?</v>
      </c>
    </row>
  </sheetData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4"/>
  <dimension ref="A1:N42"/>
  <sheetViews>
    <sheetView workbookViewId="0"/>
  </sheetViews>
  <sheetFormatPr defaultRowHeight="15" x14ac:dyDescent="0.25"/>
  <cols>
    <col min="1" max="4" width="7.42578125" customWidth="1"/>
    <col min="5" max="5" width="3.28515625" customWidth="1"/>
    <col min="6" max="6" width="9.85546875" customWidth="1"/>
    <col min="7" max="14" width="9.140625" customWidth="1"/>
    <col min="15" max="18" width="6.7109375" customWidth="1"/>
    <col min="19" max="19" width="7.28515625" customWidth="1"/>
  </cols>
  <sheetData>
    <row r="1" spans="1:14" x14ac:dyDescent="0.25">
      <c r="A1" s="1" t="s">
        <v>1312</v>
      </c>
    </row>
    <row r="2" spans="1:14" x14ac:dyDescent="0.25">
      <c r="F2" t="s">
        <v>245</v>
      </c>
    </row>
    <row r="3" spans="1:14" x14ac:dyDescent="0.25">
      <c r="A3" s="461" t="s">
        <v>222</v>
      </c>
      <c r="B3" s="461" t="s">
        <v>223</v>
      </c>
      <c r="C3" s="461" t="s">
        <v>224</v>
      </c>
      <c r="D3" s="461" t="s">
        <v>225</v>
      </c>
    </row>
    <row r="4" spans="1:14" ht="15.75" thickBot="1" x14ac:dyDescent="0.3">
      <c r="A4" s="460">
        <v>1</v>
      </c>
      <c r="B4" s="460">
        <v>210</v>
      </c>
      <c r="C4" s="460">
        <v>197</v>
      </c>
      <c r="D4" s="460">
        <f>IF(ISNUMBER(B4),IF(ISNUMBER(C4),B4-C4,""),"")</f>
        <v>13</v>
      </c>
      <c r="F4" t="s">
        <v>176</v>
      </c>
      <c r="I4" t="s">
        <v>114</v>
      </c>
      <c r="J4">
        <v>0.05</v>
      </c>
      <c r="L4" t="s">
        <v>202</v>
      </c>
      <c r="M4">
        <v>0</v>
      </c>
    </row>
    <row r="5" spans="1:14" ht="15.75" thickTop="1" x14ac:dyDescent="0.25">
      <c r="A5" s="460">
        <f>A4+1</f>
        <v>2</v>
      </c>
      <c r="B5" s="460">
        <v>205</v>
      </c>
      <c r="C5" s="460">
        <v>195</v>
      </c>
      <c r="D5" s="460">
        <f>IF(ISNUMBER(B5),IF(ISNUMBER(C5),B5-C5,""),"")</f>
        <v>10</v>
      </c>
      <c r="F5" s="291" t="s">
        <v>203</v>
      </c>
      <c r="G5" s="291" t="s">
        <v>87</v>
      </c>
      <c r="H5" s="291" t="s">
        <v>75</v>
      </c>
      <c r="I5" s="291" t="s">
        <v>164</v>
      </c>
      <c r="J5" s="291" t="s">
        <v>165</v>
      </c>
      <c r="K5" s="291" t="s">
        <v>177</v>
      </c>
      <c r="L5" s="291" t="s">
        <v>168</v>
      </c>
      <c r="M5" s="291" t="s">
        <v>178</v>
      </c>
      <c r="N5" s="291" t="s">
        <v>179</v>
      </c>
    </row>
    <row r="6" spans="1:14" x14ac:dyDescent="0.25">
      <c r="A6" s="460">
        <f t="shared" ref="A6:A18" si="0">A5+1</f>
        <v>3</v>
      </c>
      <c r="B6" s="460">
        <v>193</v>
      </c>
      <c r="C6" s="460">
        <v>191</v>
      </c>
      <c r="D6" s="460">
        <f>IF(ISNUMBER(B6),IF(ISNUMBER(C6),B6-C6,""),"")</f>
        <v>2</v>
      </c>
      <c r="F6" t="str">
        <f>B3</f>
        <v>Before</v>
      </c>
      <c r="G6">
        <f>COUNT(B4:B18)</f>
        <v>15</v>
      </c>
      <c r="H6">
        <f>AVERAGE(B4:B18)</f>
        <v>207.93333333333334</v>
      </c>
      <c r="I6">
        <f>STDEV(B4:B18)</f>
        <v>28.561879356599654</v>
      </c>
    </row>
    <row r="7" spans="1:14" x14ac:dyDescent="0.25">
      <c r="A7" s="460">
        <f t="shared" si="0"/>
        <v>4</v>
      </c>
      <c r="B7" s="460">
        <v>182</v>
      </c>
      <c r="C7" s="460">
        <v>174</v>
      </c>
      <c r="D7" s="460">
        <f t="shared" ref="D7:D18" si="1">IF(ISNUMBER(B7),IF(ISNUMBER(C7),B7-C7,""),"")</f>
        <v>8</v>
      </c>
      <c r="F7" t="str">
        <f>C3</f>
        <v>After</v>
      </c>
      <c r="G7">
        <f>COUNT(C4:C18)</f>
        <v>15</v>
      </c>
      <c r="H7">
        <f>AVERAGE(C4:C18)</f>
        <v>197</v>
      </c>
      <c r="I7">
        <f>STDEV(C4:C18)</f>
        <v>24.392621835300936</v>
      </c>
    </row>
    <row r="8" spans="1:14" x14ac:dyDescent="0.25">
      <c r="A8" s="460">
        <f t="shared" si="0"/>
        <v>5</v>
      </c>
      <c r="B8" s="460">
        <v>259</v>
      </c>
      <c r="C8" s="460">
        <v>236</v>
      </c>
      <c r="D8" s="460">
        <f t="shared" si="1"/>
        <v>23</v>
      </c>
      <c r="F8" s="292" t="s">
        <v>225</v>
      </c>
      <c r="G8" s="292">
        <f>G7</f>
        <v>15</v>
      </c>
      <c r="H8" s="292">
        <f>H6-H7</f>
        <v>10.933333333333337</v>
      </c>
      <c r="I8" s="292">
        <f t="array" ref="I8">STDEV(B4:B18-C4:C18)</f>
        <v>6.3298235889056711</v>
      </c>
      <c r="J8" s="292">
        <f>I8/SQRT(G8)</f>
        <v>1.634353422950835</v>
      </c>
      <c r="K8" s="292">
        <f>(H6-H7-M4)/J8</f>
        <v>6.689699534873637</v>
      </c>
      <c r="L8" s="292">
        <f>G8-1</f>
        <v>14</v>
      </c>
      <c r="M8" s="292">
        <f>ABS(H6-H7-M4)/I8</f>
        <v>1.7272729926464732</v>
      </c>
      <c r="N8" s="292">
        <f>SQRT(K8^2/(K8^2+L8))</f>
        <v>0.87276031278909716</v>
      </c>
    </row>
    <row r="9" spans="1:14" x14ac:dyDescent="0.25">
      <c r="A9" s="460">
        <f t="shared" si="0"/>
        <v>6</v>
      </c>
      <c r="B9" s="460">
        <v>239</v>
      </c>
      <c r="C9" s="460">
        <v>226</v>
      </c>
      <c r="D9" s="460">
        <f t="shared" si="1"/>
        <v>13</v>
      </c>
    </row>
    <row r="10" spans="1:14" ht="15.75" thickBot="1" x14ac:dyDescent="0.3">
      <c r="A10" s="460">
        <f t="shared" si="0"/>
        <v>7</v>
      </c>
      <c r="B10" s="460">
        <v>164</v>
      </c>
      <c r="C10" s="460">
        <v>157</v>
      </c>
      <c r="D10" s="460">
        <f t="shared" si="1"/>
        <v>7</v>
      </c>
      <c r="F10" t="s">
        <v>180</v>
      </c>
    </row>
    <row r="11" spans="1:14" ht="15.75" thickTop="1" x14ac:dyDescent="0.25">
      <c r="A11" s="460">
        <f t="shared" si="0"/>
        <v>8</v>
      </c>
      <c r="B11" s="460">
        <v>197</v>
      </c>
      <c r="C11" s="460">
        <v>196</v>
      </c>
      <c r="D11" s="460">
        <f t="shared" si="1"/>
        <v>1</v>
      </c>
      <c r="F11" s="291" t="s">
        <v>181</v>
      </c>
      <c r="G11" s="291" t="s">
        <v>182</v>
      </c>
      <c r="H11" s="291" t="s">
        <v>183</v>
      </c>
      <c r="I11" s="291" t="s">
        <v>102</v>
      </c>
      <c r="J11" s="291" t="s">
        <v>103</v>
      </c>
      <c r="K11" s="291" t="s">
        <v>381</v>
      </c>
    </row>
    <row r="12" spans="1:14" x14ac:dyDescent="0.25">
      <c r="A12" s="460">
        <f t="shared" si="0"/>
        <v>9</v>
      </c>
      <c r="B12" s="460">
        <v>222</v>
      </c>
      <c r="C12" s="460">
        <v>201</v>
      </c>
      <c r="D12" s="460">
        <f t="shared" si="1"/>
        <v>21</v>
      </c>
      <c r="F12" t="s">
        <v>185</v>
      </c>
      <c r="G12">
        <f>TDIST(ABS(K8),L8,1)</f>
        <v>5.1378281407426804E-6</v>
      </c>
      <c r="H12">
        <f>TINV(J4*2,L8)</f>
        <v>1.7613101357748921</v>
      </c>
      <c r="K12" s="460" t="str">
        <f>IF(G12&lt;J4,"yes","no")</f>
        <v>yes</v>
      </c>
    </row>
    <row r="13" spans="1:14" x14ac:dyDescent="0.25">
      <c r="A13" s="460">
        <f t="shared" si="0"/>
        <v>10</v>
      </c>
      <c r="B13" s="460">
        <v>211</v>
      </c>
      <c r="C13" s="460">
        <v>196</v>
      </c>
      <c r="D13" s="460">
        <f t="shared" si="1"/>
        <v>15</v>
      </c>
      <c r="F13" t="s">
        <v>186</v>
      </c>
      <c r="G13">
        <f>TDIST(ABS(K8),L8,2)</f>
        <v>1.0275656281485361E-5</v>
      </c>
      <c r="H13">
        <f>TINV(J4,L8)</f>
        <v>2.1447866879178044</v>
      </c>
      <c r="I13">
        <f>(H6-H7)-J8*H13</f>
        <v>7.4279938684354896</v>
      </c>
      <c r="J13">
        <f>(H6-H7)+J8*H13</f>
        <v>14.438672798231185</v>
      </c>
      <c r="K13" s="460" t="str">
        <f>IF(G13&lt;J4,"yes","no")</f>
        <v>yes</v>
      </c>
    </row>
    <row r="14" spans="1:14" x14ac:dyDescent="0.25">
      <c r="A14" s="460">
        <f t="shared" si="0"/>
        <v>11</v>
      </c>
      <c r="B14" s="460">
        <v>187</v>
      </c>
      <c r="C14" s="460">
        <v>181</v>
      </c>
      <c r="D14" s="460">
        <f t="shared" si="1"/>
        <v>6</v>
      </c>
      <c r="F14" s="292"/>
      <c r="G14" s="292"/>
      <c r="H14" s="292"/>
      <c r="I14" s="292"/>
      <c r="J14" s="292"/>
      <c r="K14" s="292"/>
    </row>
    <row r="15" spans="1:14" x14ac:dyDescent="0.25">
      <c r="A15" s="460">
        <f t="shared" si="0"/>
        <v>12</v>
      </c>
      <c r="B15" s="460">
        <v>175</v>
      </c>
      <c r="C15" s="460">
        <v>164</v>
      </c>
      <c r="D15" s="460">
        <f t="shared" si="1"/>
        <v>11</v>
      </c>
    </row>
    <row r="16" spans="1:14" x14ac:dyDescent="0.25">
      <c r="A16" s="460">
        <f t="shared" si="0"/>
        <v>13</v>
      </c>
      <c r="B16" s="460">
        <v>186</v>
      </c>
      <c r="C16" s="460">
        <v>181</v>
      </c>
      <c r="D16" s="460">
        <f t="shared" si="1"/>
        <v>5</v>
      </c>
    </row>
    <row r="17" spans="1:14" x14ac:dyDescent="0.25">
      <c r="A17" s="460">
        <f t="shared" si="0"/>
        <v>14</v>
      </c>
      <c r="B17" s="460">
        <v>243</v>
      </c>
      <c r="C17" s="460">
        <v>229</v>
      </c>
      <c r="D17" s="460">
        <f t="shared" si="1"/>
        <v>14</v>
      </c>
    </row>
    <row r="18" spans="1:14" x14ac:dyDescent="0.25">
      <c r="A18" s="462">
        <f t="shared" si="0"/>
        <v>15</v>
      </c>
      <c r="B18" s="462">
        <v>246</v>
      </c>
      <c r="C18" s="462">
        <v>231</v>
      </c>
      <c r="D18" s="462">
        <f t="shared" si="1"/>
        <v>15</v>
      </c>
    </row>
    <row r="20" spans="1:14" x14ac:dyDescent="0.25">
      <c r="A20" s="460" t="s">
        <v>63</v>
      </c>
      <c r="B20" s="460">
        <f>AVERAGE(B4:B18)</f>
        <v>207.93333333333334</v>
      </c>
      <c r="C20" s="460">
        <f>AVERAGE(C4:C18)</f>
        <v>197</v>
      </c>
      <c r="D20" s="460">
        <f>AVERAGE(D4:D18)</f>
        <v>10.933333333333334</v>
      </c>
    </row>
    <row r="21" spans="1:14" x14ac:dyDescent="0.25">
      <c r="A21" s="460" t="s">
        <v>199</v>
      </c>
      <c r="B21" s="460">
        <f>STDEV(B4:B18)</f>
        <v>28.561879356599654</v>
      </c>
      <c r="C21" s="460">
        <f>STDEV(C4:C18)</f>
        <v>24.392621835300936</v>
      </c>
      <c r="D21" s="460">
        <f>STDEV(D4:D18)</f>
        <v>6.3298235889056711</v>
      </c>
    </row>
    <row r="23" spans="1:14" x14ac:dyDescent="0.25">
      <c r="F23" t="s">
        <v>245</v>
      </c>
    </row>
    <row r="24" spans="1:14" x14ac:dyDescent="0.25">
      <c r="A24" s="461" t="s">
        <v>222</v>
      </c>
      <c r="B24" s="461" t="s">
        <v>223</v>
      </c>
      <c r="C24" s="461" t="s">
        <v>224</v>
      </c>
      <c r="D24" s="461" t="s">
        <v>423</v>
      </c>
    </row>
    <row r="25" spans="1:14" ht="15.75" thickBot="1" x14ac:dyDescent="0.3">
      <c r="A25" s="460">
        <v>1</v>
      </c>
      <c r="B25" s="460">
        <v>210</v>
      </c>
      <c r="C25" s="460">
        <v>197</v>
      </c>
      <c r="D25" s="460">
        <f>IF(ISNUMBER(B25),IF(ISNUMBER(C25),B25-C25,""),"")</f>
        <v>13</v>
      </c>
      <c r="F25" t="s">
        <v>176</v>
      </c>
      <c r="I25" t="s">
        <v>114</v>
      </c>
      <c r="J25">
        <v>0.05</v>
      </c>
      <c r="L25" t="s">
        <v>202</v>
      </c>
      <c r="M25">
        <v>0</v>
      </c>
    </row>
    <row r="26" spans="1:14" ht="15.75" thickTop="1" x14ac:dyDescent="0.25">
      <c r="A26" s="460">
        <f>A25+1</f>
        <v>2</v>
      </c>
      <c r="B26" s="460">
        <v>205</v>
      </c>
      <c r="C26" s="460">
        <v>195</v>
      </c>
      <c r="D26" s="460">
        <f>IF(ISNUMBER(B26),IF(ISNUMBER(C26),B26-C26,""),"")</f>
        <v>10</v>
      </c>
      <c r="F26" s="291" t="s">
        <v>203</v>
      </c>
      <c r="G26" s="291" t="s">
        <v>87</v>
      </c>
      <c r="H26" s="291" t="s">
        <v>75</v>
      </c>
      <c r="I26" s="291" t="s">
        <v>164</v>
      </c>
      <c r="J26" s="291" t="s">
        <v>165</v>
      </c>
      <c r="K26" s="291" t="s">
        <v>177</v>
      </c>
      <c r="L26" s="291" t="s">
        <v>168</v>
      </c>
      <c r="M26" s="291" t="s">
        <v>178</v>
      </c>
      <c r="N26" s="291" t="s">
        <v>179</v>
      </c>
    </row>
    <row r="27" spans="1:14" x14ac:dyDescent="0.25">
      <c r="A27" s="460">
        <f t="shared" ref="A27:A39" si="2">A26+1</f>
        <v>3</v>
      </c>
      <c r="B27" s="460">
        <v>193</v>
      </c>
      <c r="C27" s="460">
        <v>191</v>
      </c>
      <c r="D27" s="460">
        <f>IF(ISNUMBER(B27),IF(ISNUMBER(C27),B27-C27,""),"")</f>
        <v>2</v>
      </c>
      <c r="F27" t="str">
        <f>B24</f>
        <v>Before</v>
      </c>
      <c r="G27">
        <f>SUMPRODUCT(ISNUMBER(B25:B39)*ISNUMBER(C25:C39))</f>
        <v>12</v>
      </c>
      <c r="H27">
        <f>SUMPRODUCT(ISNUMBER(B25:B39)*ISNUMBER(C25:C39),B25:B39)/G27</f>
        <v>207.08333333333334</v>
      </c>
      <c r="I27">
        <f>SQRT(SUMPRODUCT(ISNUMBER(B25:B39)*ISNUMBER(C25:C39),(B25:B39-H27)^2)/(G27-1))</f>
        <v>24.981659939510291</v>
      </c>
    </row>
    <row r="28" spans="1:14" x14ac:dyDescent="0.25">
      <c r="A28" s="460">
        <f t="shared" si="2"/>
        <v>4</v>
      </c>
      <c r="B28" s="460">
        <v>182</v>
      </c>
      <c r="C28" s="460">
        <v>174</v>
      </c>
      <c r="D28" s="460">
        <f t="shared" ref="D28:D39" si="3">IF(ISNUMBER(B28),IF(ISNUMBER(C28),B28-C28,""),"")</f>
        <v>8</v>
      </c>
      <c r="F28" t="str">
        <f>C24</f>
        <v>After</v>
      </c>
      <c r="G28">
        <f>G27</f>
        <v>12</v>
      </c>
      <c r="H28">
        <f>SUMPRODUCT(ISNUMBER(B25:B39)*ISNUMBER(C25:C39),C25:C39)/G28</f>
        <v>197.16666666666666</v>
      </c>
      <c r="I28">
        <f>SQRT(SUMPRODUCT(ISNUMBER(B25:B39)*ISNUMBER(C25:C39),(C25:C39-H28)^2)/(G28-1))</f>
        <v>21.758314328647852</v>
      </c>
    </row>
    <row r="29" spans="1:14" x14ac:dyDescent="0.25">
      <c r="A29" s="460">
        <f t="shared" si="2"/>
        <v>5</v>
      </c>
      <c r="B29" s="460">
        <v>259</v>
      </c>
      <c r="C29" s="460"/>
      <c r="D29" s="460" t="str">
        <f t="shared" si="3"/>
        <v/>
      </c>
      <c r="F29" s="292" t="s">
        <v>225</v>
      </c>
      <c r="G29" s="292">
        <f>G28</f>
        <v>12</v>
      </c>
      <c r="H29" s="292">
        <f>H27-H28</f>
        <v>9.9166666666666856</v>
      </c>
      <c r="I29" s="292">
        <f>SQRT(SUMPRODUCT(ISNUMBER(B25:B39)*ISNUMBER(C25:C39),(B25:B39-C25:C39-H29)^2)/(G29-1))</f>
        <v>5.8068663640294815</v>
      </c>
      <c r="J29" s="292">
        <f>I29/SQRT(G29)</f>
        <v>1.6762979292103024</v>
      </c>
      <c r="K29" s="292">
        <f>(H27-H28-M25)/J29</f>
        <v>5.915813945638166</v>
      </c>
      <c r="L29" s="292">
        <f>G29-1</f>
        <v>11</v>
      </c>
      <c r="M29" s="292">
        <f>ABS(H27-H28-M25)/I29</f>
        <v>1.7077483869949686</v>
      </c>
      <c r="N29" s="292">
        <f>SQRT(K29^2/(K29^2+L29))</f>
        <v>0.87226900264819296</v>
      </c>
    </row>
    <row r="30" spans="1:14" x14ac:dyDescent="0.25">
      <c r="A30" s="460">
        <f t="shared" si="2"/>
        <v>6</v>
      </c>
      <c r="B30" s="460">
        <v>239</v>
      </c>
      <c r="C30" s="460">
        <v>226</v>
      </c>
      <c r="D30" s="460">
        <f t="shared" si="3"/>
        <v>13</v>
      </c>
    </row>
    <row r="31" spans="1:14" ht="15.75" thickBot="1" x14ac:dyDescent="0.3">
      <c r="A31" s="460">
        <f t="shared" si="2"/>
        <v>7</v>
      </c>
      <c r="B31" s="460"/>
      <c r="C31" s="460"/>
      <c r="D31" s="460" t="str">
        <f t="shared" si="3"/>
        <v/>
      </c>
      <c r="F31" t="s">
        <v>180</v>
      </c>
    </row>
    <row r="32" spans="1:14" ht="15.75" thickTop="1" x14ac:dyDescent="0.25">
      <c r="A32" s="460">
        <f t="shared" si="2"/>
        <v>8</v>
      </c>
      <c r="B32" s="460">
        <v>197</v>
      </c>
      <c r="C32" s="460">
        <v>196</v>
      </c>
      <c r="D32" s="460">
        <f t="shared" si="3"/>
        <v>1</v>
      </c>
      <c r="F32" s="291" t="s">
        <v>181</v>
      </c>
      <c r="G32" s="291" t="s">
        <v>182</v>
      </c>
      <c r="H32" s="291" t="s">
        <v>183</v>
      </c>
      <c r="I32" s="291" t="s">
        <v>102</v>
      </c>
      <c r="J32" s="291" t="s">
        <v>103</v>
      </c>
      <c r="K32" s="291" t="s">
        <v>381</v>
      </c>
    </row>
    <row r="33" spans="1:11" x14ac:dyDescent="0.25">
      <c r="A33" s="460">
        <f t="shared" si="2"/>
        <v>9</v>
      </c>
      <c r="B33" s="460">
        <v>222</v>
      </c>
      <c r="C33" s="460">
        <v>201</v>
      </c>
      <c r="D33" s="460">
        <f t="shared" si="3"/>
        <v>21</v>
      </c>
      <c r="F33" t="s">
        <v>185</v>
      </c>
      <c r="G33">
        <f>TDIST(ABS(K29),L29,1)</f>
        <v>5.0390875731102472E-5</v>
      </c>
      <c r="H33">
        <f>TINV(J25*2,L29)</f>
        <v>1.7958848187040437</v>
      </c>
      <c r="K33" s="460" t="str">
        <f>IF(G33&lt;J25,"yes","no")</f>
        <v>yes</v>
      </c>
    </row>
    <row r="34" spans="1:11" x14ac:dyDescent="0.25">
      <c r="A34" s="460">
        <f t="shared" si="2"/>
        <v>10</v>
      </c>
      <c r="B34" s="460"/>
      <c r="C34" s="460">
        <v>196</v>
      </c>
      <c r="D34" s="460" t="str">
        <f t="shared" si="3"/>
        <v/>
      </c>
      <c r="F34" t="s">
        <v>186</v>
      </c>
      <c r="G34">
        <f>TDIST(ABS(K29),L29,2)</f>
        <v>1.0078175146220494E-4</v>
      </c>
      <c r="H34">
        <f>TINV(J25,L29)</f>
        <v>2.2009851600916384</v>
      </c>
      <c r="I34">
        <f>(H27-H28)-J29*H34</f>
        <v>6.2271598005824664</v>
      </c>
      <c r="J34">
        <f>(H27-H28)+J29*H34</f>
        <v>13.606173532750905</v>
      </c>
      <c r="K34" s="460" t="str">
        <f>IF(G34&lt;J25,"yes","no")</f>
        <v>yes</v>
      </c>
    </row>
    <row r="35" spans="1:11" x14ac:dyDescent="0.25">
      <c r="A35" s="460">
        <f t="shared" si="2"/>
        <v>11</v>
      </c>
      <c r="B35" s="460">
        <v>187</v>
      </c>
      <c r="C35" s="460">
        <v>181</v>
      </c>
      <c r="D35" s="460">
        <f t="shared" si="3"/>
        <v>6</v>
      </c>
      <c r="F35" s="292"/>
      <c r="G35" s="292"/>
      <c r="H35" s="292"/>
      <c r="I35" s="292"/>
      <c r="J35" s="292"/>
      <c r="K35" s="292"/>
    </row>
    <row r="36" spans="1:11" x14ac:dyDescent="0.25">
      <c r="A36" s="460">
        <f t="shared" si="2"/>
        <v>12</v>
      </c>
      <c r="B36" s="460">
        <v>175</v>
      </c>
      <c r="C36" s="460">
        <v>164</v>
      </c>
      <c r="D36" s="460">
        <f t="shared" si="3"/>
        <v>11</v>
      </c>
    </row>
    <row r="37" spans="1:11" x14ac:dyDescent="0.25">
      <c r="A37" s="460">
        <f t="shared" si="2"/>
        <v>13</v>
      </c>
      <c r="B37" s="460">
        <v>186</v>
      </c>
      <c r="C37" s="460">
        <v>181</v>
      </c>
      <c r="D37" s="460">
        <f t="shared" si="3"/>
        <v>5</v>
      </c>
    </row>
    <row r="38" spans="1:11" x14ac:dyDescent="0.25">
      <c r="A38" s="460">
        <f t="shared" si="2"/>
        <v>14</v>
      </c>
      <c r="B38" s="460">
        <v>243</v>
      </c>
      <c r="C38" s="460">
        <v>229</v>
      </c>
      <c r="D38" s="460">
        <f t="shared" si="3"/>
        <v>14</v>
      </c>
    </row>
    <row r="39" spans="1:11" x14ac:dyDescent="0.25">
      <c r="A39" s="462">
        <f t="shared" si="2"/>
        <v>15</v>
      </c>
      <c r="B39" s="462">
        <v>246</v>
      </c>
      <c r="C39" s="462">
        <v>231</v>
      </c>
      <c r="D39" s="462">
        <f t="shared" si="3"/>
        <v>15</v>
      </c>
    </row>
    <row r="41" spans="1:11" x14ac:dyDescent="0.25">
      <c r="A41" s="460" t="s">
        <v>63</v>
      </c>
      <c r="B41" s="460">
        <f>AVERAGE(B25:B39)</f>
        <v>211.07692307692307</v>
      </c>
      <c r="C41" s="460">
        <f>AVERAGE(C25:C39)</f>
        <v>197.07692307692307</v>
      </c>
      <c r="D41" s="460">
        <f>AVERAGE(D25:D39)</f>
        <v>9.9166666666666661</v>
      </c>
    </row>
    <row r="42" spans="1:11" x14ac:dyDescent="0.25">
      <c r="A42" s="460" t="s">
        <v>199</v>
      </c>
      <c r="B42" s="460">
        <f>STDEV(B25:B39)</f>
        <v>27.917919987174191</v>
      </c>
      <c r="C42" s="460">
        <f>STDEV(C25:C39)</f>
        <v>20.834512787126123</v>
      </c>
      <c r="D42" s="460">
        <f>STDEV(D25:D39)</f>
        <v>5.8068663640294815</v>
      </c>
    </row>
  </sheetData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16"/>
  <sheetViews>
    <sheetView workbookViewId="0"/>
  </sheetViews>
  <sheetFormatPr defaultRowHeight="15" x14ac:dyDescent="0.25"/>
  <cols>
    <col min="2" max="2" width="11" customWidth="1"/>
    <col min="5" max="5" width="27.7109375" customWidth="1"/>
    <col min="6" max="6" width="11.42578125" customWidth="1"/>
  </cols>
  <sheetData>
    <row r="1" spans="1:7" x14ac:dyDescent="0.25">
      <c r="A1" s="1" t="s">
        <v>159</v>
      </c>
      <c r="B1" s="74"/>
    </row>
    <row r="2" spans="1:7" x14ac:dyDescent="0.25">
      <c r="A2" s="74"/>
      <c r="B2" s="74"/>
    </row>
    <row r="3" spans="1:7" x14ac:dyDescent="0.25">
      <c r="A3" s="591" t="s">
        <v>160</v>
      </c>
      <c r="B3" s="591" t="s">
        <v>161</v>
      </c>
      <c r="C3" s="591" t="s">
        <v>246</v>
      </c>
      <c r="E3" t="s">
        <v>226</v>
      </c>
    </row>
    <row r="4" spans="1:7" ht="15.75" thickBot="1" x14ac:dyDescent="0.3">
      <c r="A4" s="203">
        <v>1</v>
      </c>
      <c r="B4" s="217">
        <v>23</v>
      </c>
      <c r="C4" s="217">
        <v>0</v>
      </c>
    </row>
    <row r="5" spans="1:7" x14ac:dyDescent="0.25">
      <c r="A5" s="203">
        <f t="shared" ref="A5:A15" si="0">A4+1</f>
        <v>2</v>
      </c>
      <c r="B5" s="217">
        <v>15</v>
      </c>
      <c r="C5" s="217">
        <f>C4</f>
        <v>0</v>
      </c>
      <c r="E5" s="26"/>
      <c r="F5" s="26" t="s">
        <v>161</v>
      </c>
      <c r="G5" s="26" t="s">
        <v>246</v>
      </c>
    </row>
    <row r="6" spans="1:7" x14ac:dyDescent="0.25">
      <c r="A6" s="203">
        <f t="shared" si="0"/>
        <v>3</v>
      </c>
      <c r="B6" s="217">
        <v>-5</v>
      </c>
      <c r="C6" s="217">
        <f t="shared" ref="C6:C14" si="1">C5</f>
        <v>0</v>
      </c>
      <c r="E6" s="27" t="s">
        <v>75</v>
      </c>
      <c r="F6" s="27">
        <v>4.666666666666667</v>
      </c>
      <c r="G6" s="27">
        <v>0</v>
      </c>
    </row>
    <row r="7" spans="1:7" x14ac:dyDescent="0.25">
      <c r="A7" s="203">
        <f t="shared" si="0"/>
        <v>4</v>
      </c>
      <c r="B7" s="217">
        <v>7</v>
      </c>
      <c r="C7" s="217">
        <f t="shared" si="1"/>
        <v>0</v>
      </c>
      <c r="E7" s="27" t="s">
        <v>204</v>
      </c>
      <c r="F7" s="27">
        <v>124.42424242424244</v>
      </c>
      <c r="G7" s="27">
        <v>0</v>
      </c>
    </row>
    <row r="8" spans="1:7" x14ac:dyDescent="0.25">
      <c r="A8" s="203">
        <f t="shared" si="0"/>
        <v>5</v>
      </c>
      <c r="B8" s="217">
        <v>1</v>
      </c>
      <c r="C8" s="217">
        <f t="shared" si="1"/>
        <v>0</v>
      </c>
      <c r="E8" s="27" t="s">
        <v>205</v>
      </c>
      <c r="F8" s="27">
        <v>12</v>
      </c>
      <c r="G8" s="27">
        <v>12</v>
      </c>
    </row>
    <row r="9" spans="1:7" x14ac:dyDescent="0.25">
      <c r="A9" s="203">
        <f t="shared" si="0"/>
        <v>6</v>
      </c>
      <c r="B9" s="217">
        <v>-10</v>
      </c>
      <c r="C9" s="217">
        <f t="shared" si="1"/>
        <v>0</v>
      </c>
      <c r="E9" s="27" t="s">
        <v>227</v>
      </c>
      <c r="F9" s="27" t="e">
        <v>#DIV/0!</v>
      </c>
      <c r="G9" s="27"/>
    </row>
    <row r="10" spans="1:7" x14ac:dyDescent="0.25">
      <c r="A10" s="203">
        <f t="shared" si="0"/>
        <v>7</v>
      </c>
      <c r="B10" s="217">
        <v>12</v>
      </c>
      <c r="C10" s="217">
        <f t="shared" si="1"/>
        <v>0</v>
      </c>
      <c r="E10" s="27" t="s">
        <v>208</v>
      </c>
      <c r="F10" s="27">
        <v>0</v>
      </c>
      <c r="G10" s="27"/>
    </row>
    <row r="11" spans="1:7" x14ac:dyDescent="0.25">
      <c r="A11" s="203">
        <f t="shared" si="0"/>
        <v>8</v>
      </c>
      <c r="B11" s="217">
        <v>-8</v>
      </c>
      <c r="C11" s="217">
        <f t="shared" si="1"/>
        <v>0</v>
      </c>
      <c r="E11" s="27" t="s">
        <v>168</v>
      </c>
      <c r="F11" s="27">
        <v>11</v>
      </c>
      <c r="G11" s="27"/>
    </row>
    <row r="12" spans="1:7" x14ac:dyDescent="0.25">
      <c r="A12" s="203">
        <f t="shared" si="0"/>
        <v>9</v>
      </c>
      <c r="B12" s="217">
        <v>20</v>
      </c>
      <c r="C12" s="217">
        <f t="shared" si="1"/>
        <v>0</v>
      </c>
      <c r="E12" s="27" t="s">
        <v>210</v>
      </c>
      <c r="F12" s="27">
        <v>1.4492553137533359</v>
      </c>
      <c r="G12" s="27"/>
    </row>
    <row r="13" spans="1:7" x14ac:dyDescent="0.25">
      <c r="A13" s="203">
        <f t="shared" si="0"/>
        <v>10</v>
      </c>
      <c r="B13" s="217">
        <v>8</v>
      </c>
      <c r="C13" s="217">
        <f t="shared" si="1"/>
        <v>0</v>
      </c>
      <c r="E13" s="27" t="s">
        <v>211</v>
      </c>
      <c r="F13" s="27">
        <v>8.758472781818466E-2</v>
      </c>
      <c r="G13" s="27"/>
    </row>
    <row r="14" spans="1:7" x14ac:dyDescent="0.25">
      <c r="A14" s="203">
        <f t="shared" si="0"/>
        <v>11</v>
      </c>
      <c r="B14" s="217">
        <v>-2</v>
      </c>
      <c r="C14" s="217">
        <f t="shared" si="1"/>
        <v>0</v>
      </c>
      <c r="E14" s="27" t="s">
        <v>212</v>
      </c>
      <c r="F14" s="27">
        <v>1.7958848142321888</v>
      </c>
      <c r="G14" s="27"/>
    </row>
    <row r="15" spans="1:7" x14ac:dyDescent="0.25">
      <c r="A15" s="589">
        <f t="shared" si="0"/>
        <v>12</v>
      </c>
      <c r="B15" s="590">
        <v>-5</v>
      </c>
      <c r="C15" s="590">
        <f>C14</f>
        <v>0</v>
      </c>
      <c r="E15" s="27" t="s">
        <v>213</v>
      </c>
      <c r="F15" s="27">
        <v>0.17516945563636932</v>
      </c>
      <c r="G15" s="27"/>
    </row>
    <row r="16" spans="1:7" ht="15.75" thickBot="1" x14ac:dyDescent="0.3">
      <c r="E16" s="30" t="s">
        <v>215</v>
      </c>
      <c r="F16" s="30">
        <v>2.2009851587218421</v>
      </c>
      <c r="G16" s="30"/>
    </row>
  </sheetData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I32"/>
  <sheetViews>
    <sheetView workbookViewId="0"/>
  </sheetViews>
  <sheetFormatPr defaultRowHeight="15" x14ac:dyDescent="0.25"/>
  <cols>
    <col min="1" max="4" width="7.140625" customWidth="1"/>
    <col min="5" max="5" width="4" customWidth="1"/>
    <col min="6" max="6" width="14.28515625" customWidth="1"/>
    <col min="8" max="8" width="3.140625" customWidth="1"/>
    <col min="9" max="9" width="42.85546875" customWidth="1"/>
  </cols>
  <sheetData>
    <row r="1" spans="1:9" x14ac:dyDescent="0.25">
      <c r="A1" s="1" t="s">
        <v>1723</v>
      </c>
    </row>
    <row r="3" spans="1:9" x14ac:dyDescent="0.25">
      <c r="A3" s="492" t="s">
        <v>222</v>
      </c>
      <c r="B3" s="492" t="s">
        <v>223</v>
      </c>
      <c r="C3" s="492" t="s">
        <v>224</v>
      </c>
      <c r="D3" s="492" t="s">
        <v>423</v>
      </c>
      <c r="F3" t="s">
        <v>1713</v>
      </c>
      <c r="G3" s="486">
        <f>AVERAGE(B4:B18)</f>
        <v>207.93333333333334</v>
      </c>
      <c r="I3" t="e">
        <f ca="1">FTEXT(G3)</f>
        <v>#NAME?</v>
      </c>
    </row>
    <row r="4" spans="1:9" x14ac:dyDescent="0.25">
      <c r="A4" s="583">
        <v>1</v>
      </c>
      <c r="B4" s="583">
        <v>210</v>
      </c>
      <c r="C4" s="583">
        <v>197</v>
      </c>
      <c r="D4" s="583">
        <f t="shared" ref="D4:D18" si="0">B4-C4</f>
        <v>13</v>
      </c>
      <c r="F4" t="s">
        <v>1714</v>
      </c>
      <c r="G4" s="163">
        <f>AVERAGE(C4:C18)</f>
        <v>198.26666666666668</v>
      </c>
      <c r="I4" t="e">
        <f ca="1">FTEXT(G4)</f>
        <v>#NAME?</v>
      </c>
    </row>
    <row r="5" spans="1:9" x14ac:dyDescent="0.25">
      <c r="A5" s="583">
        <f t="shared" ref="A5:A18" si="1">A4+1</f>
        <v>2</v>
      </c>
      <c r="B5" s="583">
        <v>205</v>
      </c>
      <c r="C5" s="583">
        <v>210</v>
      </c>
      <c r="D5" s="583">
        <f t="shared" si="0"/>
        <v>-5</v>
      </c>
      <c r="F5" t="s">
        <v>1715</v>
      </c>
      <c r="G5" s="163">
        <f>STDEV(B4:B18)</f>
        <v>28.561879356599654</v>
      </c>
      <c r="I5" s="22" t="s">
        <v>1724</v>
      </c>
    </row>
    <row r="6" spans="1:9" x14ac:dyDescent="0.25">
      <c r="A6" s="583">
        <f t="shared" si="1"/>
        <v>3</v>
      </c>
      <c r="B6" s="583">
        <v>193</v>
      </c>
      <c r="C6" s="583">
        <v>191</v>
      </c>
      <c r="D6" s="583">
        <f t="shared" si="0"/>
        <v>2</v>
      </c>
      <c r="F6" t="s">
        <v>1716</v>
      </c>
      <c r="G6" s="163">
        <f>STDEV(C4:C18)</f>
        <v>24.609715464387154</v>
      </c>
      <c r="I6" s="22" t="s">
        <v>1725</v>
      </c>
    </row>
    <row r="7" spans="1:9" x14ac:dyDescent="0.25">
      <c r="A7" s="583">
        <f t="shared" si="1"/>
        <v>4</v>
      </c>
      <c r="B7" s="583">
        <v>182</v>
      </c>
      <c r="C7" s="583">
        <v>174</v>
      </c>
      <c r="D7" s="583">
        <f t="shared" si="0"/>
        <v>8</v>
      </c>
      <c r="F7" t="s">
        <v>396</v>
      </c>
      <c r="G7" s="163">
        <f>COUNT(B4:B18)</f>
        <v>15</v>
      </c>
      <c r="I7" t="e">
        <f ca="1">FTEXT(G7)</f>
        <v>#NAME?</v>
      </c>
    </row>
    <row r="8" spans="1:9" x14ac:dyDescent="0.25">
      <c r="A8" s="583">
        <f t="shared" si="1"/>
        <v>5</v>
      </c>
      <c r="B8" s="583">
        <v>259</v>
      </c>
      <c r="C8" s="583">
        <v>236</v>
      </c>
      <c r="D8" s="583">
        <f t="shared" si="0"/>
        <v>23</v>
      </c>
      <c r="F8" t="s">
        <v>1726</v>
      </c>
      <c r="G8" s="163">
        <f>CORREL(B4:B18,C4:C18)</f>
        <v>0.96612710591929774</v>
      </c>
      <c r="I8" t="e">
        <f ca="1">FTEXT(G8)</f>
        <v>#NAME?</v>
      </c>
    </row>
    <row r="9" spans="1:9" x14ac:dyDescent="0.25">
      <c r="A9" s="583">
        <f t="shared" si="1"/>
        <v>6</v>
      </c>
      <c r="B9" s="583">
        <v>239</v>
      </c>
      <c r="C9" s="583">
        <v>226</v>
      </c>
      <c r="D9" s="583">
        <f t="shared" si="0"/>
        <v>13</v>
      </c>
      <c r="F9" t="s">
        <v>168</v>
      </c>
      <c r="G9" s="163">
        <f>G7-1</f>
        <v>14</v>
      </c>
      <c r="I9" t="e">
        <f ca="1">FTEXT(G9)</f>
        <v>#NAME?</v>
      </c>
    </row>
    <row r="10" spans="1:9" x14ac:dyDescent="0.25">
      <c r="A10" s="583">
        <f t="shared" si="1"/>
        <v>7</v>
      </c>
      <c r="B10" s="583">
        <v>164</v>
      </c>
      <c r="C10" s="583">
        <v>157</v>
      </c>
      <c r="D10" s="583">
        <f t="shared" si="0"/>
        <v>7</v>
      </c>
      <c r="F10" t="s">
        <v>1727</v>
      </c>
      <c r="G10" s="163">
        <f>SQRT((G5^2+G6^2)/2)</f>
        <v>26.659135841386998</v>
      </c>
      <c r="I10" t="e">
        <f ca="1">FTEXT(G10)</f>
        <v>#NAME?</v>
      </c>
    </row>
    <row r="11" spans="1:9" x14ac:dyDescent="0.25">
      <c r="A11" s="583">
        <f t="shared" si="1"/>
        <v>8</v>
      </c>
      <c r="B11" s="583">
        <v>197</v>
      </c>
      <c r="C11" s="583">
        <v>200</v>
      </c>
      <c r="D11" s="583">
        <f t="shared" si="0"/>
        <v>-3</v>
      </c>
      <c r="F11" t="s">
        <v>262</v>
      </c>
      <c r="G11" s="163">
        <v>0.05</v>
      </c>
    </row>
    <row r="12" spans="1:9" x14ac:dyDescent="0.25">
      <c r="A12" s="583">
        <f t="shared" si="1"/>
        <v>9</v>
      </c>
      <c r="B12" s="583">
        <v>222</v>
      </c>
      <c r="C12" s="583">
        <v>201</v>
      </c>
      <c r="D12" s="583">
        <f t="shared" si="0"/>
        <v>21</v>
      </c>
      <c r="F12" t="s">
        <v>1708</v>
      </c>
      <c r="G12" s="163">
        <f>(G3-G4)/G10</f>
        <v>0.36260240107481773</v>
      </c>
      <c r="I12" t="e">
        <f ca="1">FTEXT(G12)</f>
        <v>#NAME?</v>
      </c>
    </row>
    <row r="13" spans="1:9" x14ac:dyDescent="0.25">
      <c r="A13" s="583">
        <f t="shared" si="1"/>
        <v>10</v>
      </c>
      <c r="B13" s="583">
        <v>211</v>
      </c>
      <c r="C13" s="583">
        <v>196</v>
      </c>
      <c r="D13" s="583">
        <f t="shared" si="0"/>
        <v>15</v>
      </c>
      <c r="F13" t="s">
        <v>1728</v>
      </c>
      <c r="G13" s="163">
        <f>SQRT(G5^2+G6^2-2*G8*G5*G6)</f>
        <v>7.9522383791040214</v>
      </c>
      <c r="I13" t="e">
        <f ca="1">FTEXT(G13)</f>
        <v>#NAME?</v>
      </c>
    </row>
    <row r="14" spans="1:9" x14ac:dyDescent="0.25">
      <c r="A14" s="583">
        <f t="shared" si="1"/>
        <v>11</v>
      </c>
      <c r="B14" s="583">
        <v>187</v>
      </c>
      <c r="C14" s="583">
        <v>181</v>
      </c>
      <c r="D14" s="583">
        <f t="shared" si="0"/>
        <v>6</v>
      </c>
      <c r="F14" s="408" t="s">
        <v>1710</v>
      </c>
      <c r="G14" s="163">
        <f>(G3-G4)*SQRT(G7)/G13</f>
        <v>4.7079623658812606</v>
      </c>
      <c r="I14" t="e">
        <f ca="1">FTEXT(G14)</f>
        <v>#NAME?</v>
      </c>
    </row>
    <row r="15" spans="1:9" x14ac:dyDescent="0.25">
      <c r="A15" s="583">
        <f t="shared" si="1"/>
        <v>12</v>
      </c>
      <c r="B15" s="583">
        <v>175</v>
      </c>
      <c r="C15" s="583">
        <v>164</v>
      </c>
      <c r="D15" s="583">
        <f t="shared" si="0"/>
        <v>11</v>
      </c>
      <c r="F15" s="408" t="s">
        <v>1220</v>
      </c>
      <c r="G15" s="163" t="e">
        <f ca="1">NT_NCP(1-G11/2,G9,G14)*G13/(G10*SQRT(G7))</f>
        <v>#NAME?</v>
      </c>
      <c r="I15" t="e">
        <f ca="1">FTEXT(G15)</f>
        <v>#NAME?</v>
      </c>
    </row>
    <row r="16" spans="1:9" x14ac:dyDescent="0.25">
      <c r="A16" s="583">
        <f t="shared" si="1"/>
        <v>13</v>
      </c>
      <c r="B16" s="583">
        <v>186</v>
      </c>
      <c r="C16" s="583">
        <v>181</v>
      </c>
      <c r="D16" s="583">
        <f t="shared" si="0"/>
        <v>5</v>
      </c>
      <c r="F16" s="408" t="s">
        <v>1221</v>
      </c>
      <c r="G16" s="155" t="e">
        <f ca="1">NT_NCP(G11/2,G9,G14)*G13/(G10*SQRT(G7))</f>
        <v>#NAME?</v>
      </c>
      <c r="I16" t="e">
        <f ca="1">FTEXT(G16)</f>
        <v>#NAME?</v>
      </c>
    </row>
    <row r="17" spans="1:9" x14ac:dyDescent="0.25">
      <c r="A17" s="583">
        <f t="shared" si="1"/>
        <v>14</v>
      </c>
      <c r="B17" s="583">
        <v>243</v>
      </c>
      <c r="C17" s="583">
        <v>229</v>
      </c>
      <c r="D17" s="583">
        <f t="shared" si="0"/>
        <v>14</v>
      </c>
    </row>
    <row r="18" spans="1:9" x14ac:dyDescent="0.25">
      <c r="A18" s="462">
        <f t="shared" si="1"/>
        <v>15</v>
      </c>
      <c r="B18" s="462">
        <v>246</v>
      </c>
      <c r="C18" s="462">
        <v>231</v>
      </c>
      <c r="D18" s="462">
        <f t="shared" si="0"/>
        <v>15</v>
      </c>
      <c r="F18" s="408" t="s">
        <v>1711</v>
      </c>
      <c r="G18" s="205">
        <f>G12*(1-3/(4*G9-1))</f>
        <v>0.34282408828891858</v>
      </c>
      <c r="I18" t="e">
        <f ca="1">FTEXT(G18)</f>
        <v>#NAME?</v>
      </c>
    </row>
    <row r="20" spans="1:9" x14ac:dyDescent="0.25">
      <c r="F20" t="e">
        <f t="array" aca="1" ref="F20:G23" ca="1">T_EFFECT2P(G3,G4,G5,G6,G8,G7,TRUE,G11)</f>
        <v>#NAME?</v>
      </c>
      <c r="G20" s="486" t="e">
        <f ca="1"/>
        <v>#NAME?</v>
      </c>
    </row>
    <row r="21" spans="1:9" x14ac:dyDescent="0.25">
      <c r="F21" t="e">
        <f ca="1"/>
        <v>#NAME?</v>
      </c>
      <c r="G21" s="163" t="e">
        <f ca="1"/>
        <v>#NAME?</v>
      </c>
    </row>
    <row r="22" spans="1:9" x14ac:dyDescent="0.25">
      <c r="F22" t="e">
        <f ca="1"/>
        <v>#NAME?</v>
      </c>
      <c r="G22" s="163" t="e">
        <f ca="1"/>
        <v>#NAME?</v>
      </c>
    </row>
    <row r="23" spans="1:9" x14ac:dyDescent="0.25">
      <c r="F23" t="e">
        <f ca="1"/>
        <v>#NAME?</v>
      </c>
      <c r="G23" s="155" t="e">
        <f ca="1"/>
        <v>#NAME?</v>
      </c>
    </row>
    <row r="25" spans="1:9" x14ac:dyDescent="0.25">
      <c r="F25" t="e">
        <f ca="1">FTEXT(G20)</f>
        <v>#NAME?</v>
      </c>
    </row>
    <row r="27" spans="1:9" x14ac:dyDescent="0.25">
      <c r="F27" t="e">
        <f t="array" aca="1" ref="F27:G30" ca="1">TT_EFFECT2P(B4:B18,C4:C18,TRUE,G11)</f>
        <v>#NAME?</v>
      </c>
      <c r="G27" s="486" t="e">
        <f ca="1"/>
        <v>#NAME?</v>
      </c>
    </row>
    <row r="28" spans="1:9" x14ac:dyDescent="0.25">
      <c r="F28" t="e">
        <f ca="1"/>
        <v>#NAME?</v>
      </c>
      <c r="G28" s="163" t="e">
        <f ca="1"/>
        <v>#NAME?</v>
      </c>
    </row>
    <row r="29" spans="1:9" x14ac:dyDescent="0.25">
      <c r="F29" t="e">
        <f ca="1"/>
        <v>#NAME?</v>
      </c>
      <c r="G29" s="163" t="e">
        <f ca="1"/>
        <v>#NAME?</v>
      </c>
    </row>
    <row r="30" spans="1:9" x14ac:dyDescent="0.25">
      <c r="F30" t="e">
        <f ca="1"/>
        <v>#NAME?</v>
      </c>
      <c r="G30" s="155" t="e">
        <f ca="1"/>
        <v>#NAME?</v>
      </c>
    </row>
    <row r="32" spans="1:9" x14ac:dyDescent="0.25">
      <c r="F32" t="e">
        <f ca="1">FTEXT(G27)</f>
        <v>#NAME?</v>
      </c>
    </row>
  </sheetData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X28"/>
  <sheetViews>
    <sheetView workbookViewId="0"/>
  </sheetViews>
  <sheetFormatPr defaultRowHeight="15" x14ac:dyDescent="0.25"/>
  <cols>
    <col min="4" max="4" width="10.42578125" customWidth="1"/>
    <col min="6" max="6" width="12.7109375" customWidth="1"/>
    <col min="8" max="8" width="3.28515625" customWidth="1"/>
    <col min="9" max="9" width="24.140625" customWidth="1"/>
    <col min="11" max="11" width="13.140625" customWidth="1"/>
    <col min="13" max="13" width="3.140625" customWidth="1"/>
    <col min="14" max="14" width="34.28515625" customWidth="1"/>
    <col min="15" max="15" width="3.7109375" customWidth="1"/>
  </cols>
  <sheetData>
    <row r="1" spans="1:24" x14ac:dyDescent="0.25">
      <c r="A1" s="1" t="s">
        <v>1723</v>
      </c>
    </row>
    <row r="3" spans="1:24" x14ac:dyDescent="0.25">
      <c r="A3" s="492" t="s">
        <v>222</v>
      </c>
      <c r="B3" s="492" t="s">
        <v>223</v>
      </c>
      <c r="C3" s="492" t="s">
        <v>224</v>
      </c>
      <c r="D3" s="492" t="s">
        <v>225</v>
      </c>
      <c r="F3" t="s">
        <v>403</v>
      </c>
      <c r="G3" s="486">
        <f>AVERAGE(D4:D18)</f>
        <v>10.933333333333334</v>
      </c>
      <c r="I3" t="e">
        <f ca="1">FTEXT(G3)</f>
        <v>#NAME?</v>
      </c>
      <c r="K3" t="s">
        <v>403</v>
      </c>
      <c r="L3" s="486">
        <f>AVERAGE(D4:D18)</f>
        <v>10.933333333333334</v>
      </c>
      <c r="N3" t="e">
        <f ca="1">FTEXT(L3)</f>
        <v>#NAME?</v>
      </c>
      <c r="P3" t="s">
        <v>245</v>
      </c>
    </row>
    <row r="4" spans="1:24" x14ac:dyDescent="0.25">
      <c r="A4" s="583">
        <v>1</v>
      </c>
      <c r="B4" s="583">
        <v>210</v>
      </c>
      <c r="C4" s="583">
        <v>197</v>
      </c>
      <c r="D4" s="583">
        <f>B4-C4</f>
        <v>13</v>
      </c>
      <c r="F4" t="s">
        <v>462</v>
      </c>
      <c r="G4" s="163">
        <v>0</v>
      </c>
      <c r="K4" t="s">
        <v>462</v>
      </c>
      <c r="L4" s="163">
        <v>0</v>
      </c>
    </row>
    <row r="5" spans="1:24" ht="15.75" thickBot="1" x14ac:dyDescent="0.3">
      <c r="A5" s="583">
        <f>A4+1</f>
        <v>2</v>
      </c>
      <c r="B5" s="583">
        <v>205</v>
      </c>
      <c r="C5" s="583">
        <v>195</v>
      </c>
      <c r="D5" s="583">
        <f t="shared" ref="D5:D18" si="0">B5-C5</f>
        <v>10</v>
      </c>
      <c r="F5" t="s">
        <v>1706</v>
      </c>
      <c r="G5" s="163">
        <f>STDEV(D4:D18)</f>
        <v>6.3298235889056711</v>
      </c>
      <c r="I5" s="22" t="s">
        <v>1732</v>
      </c>
      <c r="K5" t="s">
        <v>1706</v>
      </c>
      <c r="L5" s="163">
        <f>STDEV(D4:D18)</f>
        <v>6.3298235889056711</v>
      </c>
      <c r="N5" s="22" t="s">
        <v>1732</v>
      </c>
      <c r="O5" s="22"/>
      <c r="P5" t="s">
        <v>176</v>
      </c>
      <c r="S5" t="s">
        <v>114</v>
      </c>
      <c r="T5">
        <v>0.05</v>
      </c>
      <c r="V5" t="s">
        <v>202</v>
      </c>
      <c r="W5">
        <v>0</v>
      </c>
    </row>
    <row r="6" spans="1:24" ht="15.75" thickTop="1" x14ac:dyDescent="0.25">
      <c r="A6" s="583">
        <f t="shared" ref="A6:A18" si="1">A5+1</f>
        <v>3</v>
      </c>
      <c r="B6" s="583">
        <v>193</v>
      </c>
      <c r="C6" s="583">
        <v>191</v>
      </c>
      <c r="D6" s="583">
        <f t="shared" si="0"/>
        <v>2</v>
      </c>
      <c r="F6" t="s">
        <v>396</v>
      </c>
      <c r="G6" s="163">
        <f>COUNT(D4:D18)</f>
        <v>15</v>
      </c>
      <c r="I6" t="e">
        <f ca="1">FTEXT(G6)</f>
        <v>#NAME?</v>
      </c>
      <c r="K6" t="s">
        <v>396</v>
      </c>
      <c r="L6" s="163">
        <f>COUNT(D4:D18)</f>
        <v>15</v>
      </c>
      <c r="N6" t="e">
        <f ca="1">FTEXT(L6)</f>
        <v>#NAME?</v>
      </c>
      <c r="P6" s="291" t="s">
        <v>203</v>
      </c>
      <c r="Q6" s="291" t="s">
        <v>87</v>
      </c>
      <c r="R6" s="291" t="s">
        <v>75</v>
      </c>
      <c r="S6" s="291" t="s">
        <v>164</v>
      </c>
      <c r="T6" s="291" t="s">
        <v>165</v>
      </c>
      <c r="U6" s="291" t="s">
        <v>177</v>
      </c>
      <c r="V6" s="291" t="s">
        <v>168</v>
      </c>
      <c r="W6" s="291" t="s">
        <v>178</v>
      </c>
      <c r="X6" s="291" t="s">
        <v>179</v>
      </c>
    </row>
    <row r="7" spans="1:24" x14ac:dyDescent="0.25">
      <c r="A7" s="583">
        <f t="shared" si="1"/>
        <v>4</v>
      </c>
      <c r="B7" s="583">
        <v>182</v>
      </c>
      <c r="C7" s="583">
        <v>174</v>
      </c>
      <c r="D7" s="583">
        <f t="shared" si="0"/>
        <v>8</v>
      </c>
      <c r="F7" t="s">
        <v>262</v>
      </c>
      <c r="G7" s="163">
        <v>0.05</v>
      </c>
      <c r="K7" t="s">
        <v>262</v>
      </c>
      <c r="L7" s="163">
        <v>0.05</v>
      </c>
      <c r="P7" t="str">
        <f>B3</f>
        <v>Before</v>
      </c>
      <c r="Q7">
        <f>COUNT(B4:B18)</f>
        <v>15</v>
      </c>
      <c r="R7">
        <f>AVERAGE(B4:B18)</f>
        <v>207.93333333333334</v>
      </c>
      <c r="S7">
        <f>STDEV(B4:B18)</f>
        <v>28.561879356599654</v>
      </c>
    </row>
    <row r="8" spans="1:24" x14ac:dyDescent="0.25">
      <c r="A8" s="583">
        <f t="shared" si="1"/>
        <v>5</v>
      </c>
      <c r="B8" s="583">
        <v>259</v>
      </c>
      <c r="C8" s="583">
        <v>236</v>
      </c>
      <c r="D8" s="583">
        <f t="shared" si="0"/>
        <v>23</v>
      </c>
      <c r="F8" t="s">
        <v>1708</v>
      </c>
      <c r="G8" s="163">
        <f>(G3-G4)/G5</f>
        <v>1.7272729926464725</v>
      </c>
      <c r="I8" t="e">
        <f ca="1">FTEXT(G8)</f>
        <v>#NAME?</v>
      </c>
      <c r="K8" t="s">
        <v>1708</v>
      </c>
      <c r="L8" s="163">
        <f>(L3-L4)/L5</f>
        <v>1.7272729926464725</v>
      </c>
      <c r="N8" t="e">
        <f ca="1">FTEXT(L8)</f>
        <v>#NAME?</v>
      </c>
      <c r="P8" t="str">
        <f>C3</f>
        <v>After</v>
      </c>
      <c r="Q8">
        <f>COUNT(C4:C18)</f>
        <v>15</v>
      </c>
      <c r="R8">
        <f>AVERAGE(C4:C18)</f>
        <v>197</v>
      </c>
      <c r="S8">
        <f>STDEV(C4:C18)</f>
        <v>24.392621835300936</v>
      </c>
    </row>
    <row r="9" spans="1:24" x14ac:dyDescent="0.25">
      <c r="A9" s="583">
        <f t="shared" si="1"/>
        <v>6</v>
      </c>
      <c r="B9" s="583">
        <v>239</v>
      </c>
      <c r="C9" s="583">
        <v>226</v>
      </c>
      <c r="D9" s="583">
        <f t="shared" si="0"/>
        <v>13</v>
      </c>
      <c r="F9" s="408" t="s">
        <v>357</v>
      </c>
      <c r="G9" s="163">
        <f>NORMSINV(1-G7/2)</f>
        <v>1.9599639845400536</v>
      </c>
      <c r="I9" s="22" t="s">
        <v>1733</v>
      </c>
      <c r="K9" s="408" t="s">
        <v>1710</v>
      </c>
      <c r="L9" s="163">
        <f>L8*SQRT(L6)</f>
        <v>6.6896995348736343</v>
      </c>
      <c r="N9" t="e">
        <f ca="1">FTEXT(L9)</f>
        <v>#NAME?</v>
      </c>
      <c r="P9" s="292" t="s">
        <v>225</v>
      </c>
      <c r="Q9" s="292">
        <f>Q8</f>
        <v>15</v>
      </c>
      <c r="R9" s="292">
        <f>R7-R8</f>
        <v>10.933333333333337</v>
      </c>
      <c r="S9" s="292">
        <f t="array" ref="S9">STDEV(B4:B18-C4:C18)</f>
        <v>6.3298235889056711</v>
      </c>
      <c r="T9" s="292">
        <f>S9/SQRT(Q9)</f>
        <v>1.634353422950835</v>
      </c>
      <c r="U9" s="292">
        <f>(R7-R8-W5)/T9</f>
        <v>6.689699534873637</v>
      </c>
      <c r="V9" s="292">
        <f>Q9-1</f>
        <v>14</v>
      </c>
      <c r="W9" s="292">
        <f>ABS(R7-R8-W5)/S9</f>
        <v>1.7272729926464732</v>
      </c>
      <c r="X9" s="292">
        <f>SQRT(U9^2/(U9^2+V9))</f>
        <v>0.87276031278909716</v>
      </c>
    </row>
    <row r="10" spans="1:24" x14ac:dyDescent="0.25">
      <c r="A10" s="583">
        <f t="shared" si="1"/>
        <v>7</v>
      </c>
      <c r="B10" s="583">
        <v>164</v>
      </c>
      <c r="C10" s="583">
        <v>157</v>
      </c>
      <c r="D10" s="583">
        <f t="shared" si="0"/>
        <v>7</v>
      </c>
      <c r="F10" s="408" t="s">
        <v>1700</v>
      </c>
      <c r="G10" s="163">
        <f>SQRT(1/G6+G8^2/(2*G6))</f>
        <v>0.40757297878727194</v>
      </c>
      <c r="I10" t="e">
        <f ca="1">FTEXT(G10)</f>
        <v>#NAME?</v>
      </c>
      <c r="K10" s="408" t="s">
        <v>168</v>
      </c>
      <c r="L10" s="163">
        <f>L6-1</f>
        <v>14</v>
      </c>
      <c r="N10" t="e">
        <f ca="1">FTEXT(L10)</f>
        <v>#NAME?</v>
      </c>
    </row>
    <row r="11" spans="1:24" ht="15.75" thickBot="1" x14ac:dyDescent="0.3">
      <c r="A11" s="583">
        <f t="shared" si="1"/>
        <v>8</v>
      </c>
      <c r="B11" s="583">
        <v>197</v>
      </c>
      <c r="C11" s="583">
        <v>196</v>
      </c>
      <c r="D11" s="583">
        <f t="shared" si="0"/>
        <v>1</v>
      </c>
      <c r="F11" s="408" t="s">
        <v>1220</v>
      </c>
      <c r="G11" s="163">
        <f>G8-G10*G9</f>
        <v>0.92844463315171222</v>
      </c>
      <c r="I11" t="e">
        <f ca="1">FTEXT(G11)</f>
        <v>#NAME?</v>
      </c>
      <c r="K11" s="408" t="s">
        <v>1220</v>
      </c>
      <c r="L11" s="163" t="e">
        <f ca="1">NT_NCP(1-L7/2,L10,L9)/SQRT(L6)</f>
        <v>#NAME?</v>
      </c>
      <c r="N11" t="e">
        <f ca="1">FTEXT(L11)</f>
        <v>#NAME?</v>
      </c>
      <c r="P11" t="s">
        <v>180</v>
      </c>
    </row>
    <row r="12" spans="1:24" ht="15.75" thickTop="1" x14ac:dyDescent="0.25">
      <c r="A12" s="583">
        <f t="shared" si="1"/>
        <v>9</v>
      </c>
      <c r="B12" s="583">
        <v>222</v>
      </c>
      <c r="C12" s="583">
        <v>201</v>
      </c>
      <c r="D12" s="583">
        <f t="shared" si="0"/>
        <v>21</v>
      </c>
      <c r="F12" s="408" t="s">
        <v>1221</v>
      </c>
      <c r="G12" s="155">
        <f>G8+G10*G9</f>
        <v>2.5261013521412328</v>
      </c>
      <c r="I12" t="e">
        <f ca="1">FTEXT(G12)</f>
        <v>#NAME?</v>
      </c>
      <c r="K12" s="408" t="s">
        <v>1221</v>
      </c>
      <c r="L12" s="155" t="e">
        <f ca="1">NT_NCP(L7/2,L10,L9)/SQRT(L6)</f>
        <v>#NAME?</v>
      </c>
      <c r="N12" t="e">
        <f ca="1">FTEXT(L12)</f>
        <v>#NAME?</v>
      </c>
      <c r="P12" s="291" t="s">
        <v>181</v>
      </c>
      <c r="Q12" s="291" t="s">
        <v>182</v>
      </c>
      <c r="R12" s="291" t="s">
        <v>183</v>
      </c>
      <c r="S12" s="291" t="s">
        <v>102</v>
      </c>
      <c r="T12" s="291" t="s">
        <v>103</v>
      </c>
      <c r="U12" s="291" t="s">
        <v>381</v>
      </c>
    </row>
    <row r="13" spans="1:24" x14ac:dyDescent="0.25">
      <c r="A13" s="583">
        <f t="shared" si="1"/>
        <v>10</v>
      </c>
      <c r="B13" s="583">
        <v>211</v>
      </c>
      <c r="C13" s="583">
        <v>196</v>
      </c>
      <c r="D13" s="583">
        <f t="shared" si="0"/>
        <v>15</v>
      </c>
      <c r="P13" t="s">
        <v>185</v>
      </c>
      <c r="Q13">
        <f>TDIST(ABS(U9),V9,1)</f>
        <v>5.1378281407426804E-6</v>
      </c>
      <c r="R13">
        <f>TINV(T5*2,V9)</f>
        <v>1.7613101357748921</v>
      </c>
      <c r="U13" s="583" t="str">
        <f>IF(Q13&lt;T5,"yes","no")</f>
        <v>yes</v>
      </c>
    </row>
    <row r="14" spans="1:24" x14ac:dyDescent="0.25">
      <c r="A14" s="583">
        <f t="shared" si="1"/>
        <v>11</v>
      </c>
      <c r="B14" s="583">
        <v>187</v>
      </c>
      <c r="C14" s="583">
        <v>181</v>
      </c>
      <c r="D14" s="583">
        <f t="shared" si="0"/>
        <v>6</v>
      </c>
      <c r="F14" s="408" t="s">
        <v>1711</v>
      </c>
      <c r="G14" s="205">
        <f>G8*(1-3/(4*(G6-1)-1))</f>
        <v>1.6330581021384831</v>
      </c>
      <c r="I14" t="e">
        <f ca="1">FTEXT(G14)</f>
        <v>#NAME?</v>
      </c>
      <c r="K14" s="408" t="s">
        <v>1711</v>
      </c>
      <c r="L14" s="205">
        <f>L8*(1-3/(4*L10-1))</f>
        <v>1.6330581021384831</v>
      </c>
      <c r="N14" t="e">
        <f ca="1">FTEXT(L14)</f>
        <v>#NAME?</v>
      </c>
      <c r="P14" t="s">
        <v>186</v>
      </c>
      <c r="Q14">
        <f>TDIST(ABS(U9),V9,2)</f>
        <v>1.0275656281485361E-5</v>
      </c>
      <c r="R14">
        <f>TINV(T5,V9)</f>
        <v>2.1447866879178044</v>
      </c>
      <c r="S14">
        <f>(R7-R8)-T9*R14</f>
        <v>7.4279938684354896</v>
      </c>
      <c r="T14">
        <f>(R7-R8)+T9*R14</f>
        <v>14.438672798231185</v>
      </c>
      <c r="U14" s="583" t="str">
        <f>IF(Q14&lt;T5,"yes","no")</f>
        <v>yes</v>
      </c>
    </row>
    <row r="15" spans="1:24" x14ac:dyDescent="0.25">
      <c r="A15" s="583">
        <f t="shared" si="1"/>
        <v>12</v>
      </c>
      <c r="B15" s="583">
        <v>175</v>
      </c>
      <c r="C15" s="583">
        <v>164</v>
      </c>
      <c r="D15" s="583">
        <f t="shared" si="0"/>
        <v>11</v>
      </c>
      <c r="P15" s="292"/>
      <c r="Q15" s="292"/>
      <c r="R15" s="292"/>
      <c r="S15" s="292"/>
      <c r="T15" s="292"/>
      <c r="U15" s="292"/>
    </row>
    <row r="16" spans="1:24" x14ac:dyDescent="0.25">
      <c r="A16" s="583">
        <f t="shared" si="1"/>
        <v>13</v>
      </c>
      <c r="B16" s="583">
        <v>186</v>
      </c>
      <c r="C16" s="583">
        <v>181</v>
      </c>
      <c r="D16" s="583">
        <f t="shared" si="0"/>
        <v>5</v>
      </c>
      <c r="F16" t="e">
        <f t="array" aca="1" ref="F16:G19" ca="1">T_EFFECT1(G3-G4,G5,G6,TRUE,G7,0)</f>
        <v>#NAME?</v>
      </c>
      <c r="G16" s="486" t="e">
        <f ca="1"/>
        <v>#NAME?</v>
      </c>
      <c r="K16" t="e">
        <f t="array" aca="1" ref="K16:L19" ca="1">T_EFFECT1(L3-L4,L5,L6,TRUE,G7)</f>
        <v>#NAME?</v>
      </c>
      <c r="L16" s="486" t="e">
        <f ca="1"/>
        <v>#NAME?</v>
      </c>
    </row>
    <row r="17" spans="1:12" x14ac:dyDescent="0.25">
      <c r="A17" s="583">
        <f t="shared" si="1"/>
        <v>14</v>
      </c>
      <c r="B17" s="583">
        <v>243</v>
      </c>
      <c r="C17" s="583">
        <v>229</v>
      </c>
      <c r="D17" s="583">
        <f t="shared" si="0"/>
        <v>14</v>
      </c>
      <c r="F17" t="e">
        <f ca="1"/>
        <v>#NAME?</v>
      </c>
      <c r="G17" s="163" t="e">
        <f ca="1"/>
        <v>#NAME?</v>
      </c>
      <c r="K17" t="e">
        <f ca="1"/>
        <v>#NAME?</v>
      </c>
      <c r="L17" s="163" t="e">
        <f ca="1"/>
        <v>#NAME?</v>
      </c>
    </row>
    <row r="18" spans="1:12" x14ac:dyDescent="0.25">
      <c r="A18" s="462">
        <f t="shared" si="1"/>
        <v>15</v>
      </c>
      <c r="B18" s="462">
        <v>246</v>
      </c>
      <c r="C18" s="462">
        <v>231</v>
      </c>
      <c r="D18" s="462">
        <f t="shared" si="0"/>
        <v>15</v>
      </c>
      <c r="F18" t="e">
        <f ca="1"/>
        <v>#NAME?</v>
      </c>
      <c r="G18" s="163" t="e">
        <f ca="1"/>
        <v>#NAME?</v>
      </c>
      <c r="K18" t="e">
        <f ca="1"/>
        <v>#NAME?</v>
      </c>
      <c r="L18" s="163" t="e">
        <f ca="1"/>
        <v>#NAME?</v>
      </c>
    </row>
    <row r="19" spans="1:12" x14ac:dyDescent="0.25">
      <c r="F19" t="e">
        <f ca="1"/>
        <v>#NAME?</v>
      </c>
      <c r="G19" s="155" t="e">
        <f ca="1"/>
        <v>#NAME?</v>
      </c>
      <c r="K19" t="e">
        <f ca="1"/>
        <v>#NAME?</v>
      </c>
      <c r="L19" s="155" t="e">
        <f ca="1"/>
        <v>#NAME?</v>
      </c>
    </row>
    <row r="21" spans="1:12" x14ac:dyDescent="0.25">
      <c r="F21" t="e">
        <f ca="1">FTEXT(G16)</f>
        <v>#NAME?</v>
      </c>
      <c r="K21" t="e">
        <f ca="1">FTEXT(L16)</f>
        <v>#NAME?</v>
      </c>
    </row>
    <row r="23" spans="1:12" x14ac:dyDescent="0.25">
      <c r="F23" t="e">
        <f t="array" aca="1" ref="F23:G26" ca="1">TT_EFFECT1(D4:D18,G4,TRUE,G7,0)</f>
        <v>#NAME?</v>
      </c>
      <c r="G23" s="486" t="e">
        <f ca="1"/>
        <v>#NAME?</v>
      </c>
      <c r="K23" t="e">
        <f t="array" aca="1" ref="K23:L26" ca="1">TT_EFFECT1(D4:D18,L4,TRUE,G7)</f>
        <v>#NAME?</v>
      </c>
      <c r="L23" s="486" t="e">
        <f ca="1"/>
        <v>#NAME?</v>
      </c>
    </row>
    <row r="24" spans="1:12" x14ac:dyDescent="0.25">
      <c r="F24" t="e">
        <f ca="1"/>
        <v>#NAME?</v>
      </c>
      <c r="G24" s="163" t="e">
        <f ca="1"/>
        <v>#NAME?</v>
      </c>
      <c r="K24" t="e">
        <f ca="1"/>
        <v>#NAME?</v>
      </c>
      <c r="L24" s="163" t="e">
        <f ca="1"/>
        <v>#NAME?</v>
      </c>
    </row>
    <row r="25" spans="1:12" x14ac:dyDescent="0.25">
      <c r="F25" t="e">
        <f ca="1"/>
        <v>#NAME?</v>
      </c>
      <c r="G25" s="163" t="e">
        <f ca="1"/>
        <v>#NAME?</v>
      </c>
      <c r="K25" t="e">
        <f ca="1"/>
        <v>#NAME?</v>
      </c>
      <c r="L25" s="163" t="e">
        <f ca="1"/>
        <v>#NAME?</v>
      </c>
    </row>
    <row r="26" spans="1:12" x14ac:dyDescent="0.25">
      <c r="F26" t="e">
        <f ca="1"/>
        <v>#NAME?</v>
      </c>
      <c r="G26" s="155" t="e">
        <f ca="1"/>
        <v>#NAME?</v>
      </c>
      <c r="K26" t="e">
        <f ca="1"/>
        <v>#NAME?</v>
      </c>
      <c r="L26" s="155" t="e">
        <f ca="1"/>
        <v>#NAME?</v>
      </c>
    </row>
    <row r="28" spans="1:12" x14ac:dyDescent="0.25">
      <c r="F28" t="e">
        <f ca="1">FTEXT(G23)</f>
        <v>#NAME?</v>
      </c>
      <c r="K28" t="e">
        <f ca="1">FTEXT(L23)</f>
        <v>#NAME?</v>
      </c>
    </row>
  </sheetData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AV25"/>
  <sheetViews>
    <sheetView workbookViewId="0"/>
  </sheetViews>
  <sheetFormatPr defaultRowHeight="15" x14ac:dyDescent="0.25"/>
  <cols>
    <col min="1" max="2" width="6" customWidth="1"/>
    <col min="3" max="3" width="3.5703125" customWidth="1"/>
    <col min="4" max="5" width="6.140625" customWidth="1"/>
    <col min="6" max="6" width="3.85546875" customWidth="1"/>
    <col min="7" max="7" width="10.42578125" customWidth="1"/>
    <col min="10" max="10" width="2.7109375" customWidth="1"/>
    <col min="11" max="11" width="25.140625" customWidth="1"/>
    <col min="22" max="22" width="9.140625" customWidth="1"/>
    <col min="24" max="24" width="9.5703125" customWidth="1"/>
    <col min="39" max="39" width="9.140625" customWidth="1"/>
  </cols>
  <sheetData>
    <row r="1" spans="1:48" x14ac:dyDescent="0.25">
      <c r="A1" s="1" t="s">
        <v>1670</v>
      </c>
    </row>
    <row r="2" spans="1:48" x14ac:dyDescent="0.25">
      <c r="M2" t="s">
        <v>200</v>
      </c>
      <c r="X2" t="s">
        <v>1671</v>
      </c>
    </row>
    <row r="3" spans="1:48" x14ac:dyDescent="0.25">
      <c r="A3" s="598" t="s">
        <v>193</v>
      </c>
      <c r="B3" s="598"/>
      <c r="D3" s="598" t="s">
        <v>964</v>
      </c>
      <c r="E3" s="598"/>
      <c r="H3" s="561" t="s">
        <v>197</v>
      </c>
      <c r="I3" s="561" t="s">
        <v>198</v>
      </c>
    </row>
    <row r="4" spans="1:48" ht="15.75" thickBot="1" x14ac:dyDescent="0.3">
      <c r="A4" s="561" t="s">
        <v>197</v>
      </c>
      <c r="B4" s="561" t="s">
        <v>198</v>
      </c>
      <c r="D4" s="561" t="s">
        <v>197</v>
      </c>
      <c r="E4" s="561" t="s">
        <v>198</v>
      </c>
      <c r="G4" t="s">
        <v>360</v>
      </c>
      <c r="H4">
        <f>COUNT(A5:A15)</f>
        <v>11</v>
      </c>
      <c r="I4">
        <f>COUNT(B5:B15)</f>
        <v>10</v>
      </c>
      <c r="K4" t="e">
        <f ca="1">FTEXT(H4)</f>
        <v>#NAME?</v>
      </c>
      <c r="M4" t="s">
        <v>176</v>
      </c>
      <c r="P4" t="s">
        <v>202</v>
      </c>
      <c r="Q4">
        <v>0</v>
      </c>
      <c r="Y4" t="str">
        <f>A4</f>
        <v>New</v>
      </c>
      <c r="Z4" t="str">
        <f>B4</f>
        <v>Old</v>
      </c>
      <c r="AB4" t="s">
        <v>94</v>
      </c>
      <c r="AF4" t="s">
        <v>699</v>
      </c>
      <c r="AJ4" t="s">
        <v>703</v>
      </c>
      <c r="AN4" t="s">
        <v>1672</v>
      </c>
      <c r="AS4" t="s">
        <v>1673</v>
      </c>
    </row>
    <row r="5" spans="1:48" ht="15.75" thickTop="1" x14ac:dyDescent="0.25">
      <c r="A5" s="578">
        <v>4</v>
      </c>
      <c r="B5" s="578">
        <v>2</v>
      </c>
      <c r="D5" s="578" t="e">
        <f t="array" aca="1" ref="D5:D15" ca="1">WINSORIZE(A5:A15,0.2)</f>
        <v>#NAME?</v>
      </c>
      <c r="E5" s="578" t="e">
        <f t="array" aca="1" ref="E5:E15" ca="1">WINSORIZE(B5:B15,0.2)</f>
        <v>#NAME?</v>
      </c>
      <c r="G5" t="s">
        <v>63</v>
      </c>
      <c r="H5">
        <f>AVERAGE(A5:A15)</f>
        <v>14.272727272727273</v>
      </c>
      <c r="I5">
        <f>AVERAGE(B5:B15)</f>
        <v>17.899999999999999</v>
      </c>
      <c r="K5" t="e">
        <f ca="1">FTEXT(H5)</f>
        <v>#NAME?</v>
      </c>
      <c r="M5" s="291" t="s">
        <v>203</v>
      </c>
      <c r="N5" s="291" t="s">
        <v>87</v>
      </c>
      <c r="O5" s="291" t="s">
        <v>75</v>
      </c>
      <c r="P5" s="291" t="s">
        <v>204</v>
      </c>
      <c r="Q5" s="291" t="s">
        <v>178</v>
      </c>
      <c r="X5" t="s">
        <v>360</v>
      </c>
      <c r="Y5" s="529">
        <f>COUNT(A5:A15)</f>
        <v>11</v>
      </c>
      <c r="Z5" s="531">
        <f>COUNT(B5:B15)</f>
        <v>10</v>
      </c>
    </row>
    <row r="6" spans="1:48" x14ac:dyDescent="0.25">
      <c r="A6" s="578">
        <v>10</v>
      </c>
      <c r="B6" s="578">
        <v>8</v>
      </c>
      <c r="D6" s="578" t="e">
        <f ca="1"/>
        <v>#NAME?</v>
      </c>
      <c r="E6" s="578" t="e">
        <f ca="1"/>
        <v>#NAME?</v>
      </c>
      <c r="G6" t="s">
        <v>427</v>
      </c>
      <c r="H6">
        <f>VAR(A5:A15)</f>
        <v>178.81818181818181</v>
      </c>
      <c r="I6">
        <f>VAR(B5:B15)</f>
        <v>144.76666666666668</v>
      </c>
      <c r="K6" s="22" t="s">
        <v>1674</v>
      </c>
      <c r="M6" t="str">
        <f>A4</f>
        <v>New</v>
      </c>
      <c r="N6">
        <f>COUNT(A5:A15)</f>
        <v>11</v>
      </c>
      <c r="O6">
        <f>AVERAGE(A5:A15)</f>
        <v>14.272727272727273</v>
      </c>
      <c r="P6">
        <f>VAR(A5:A15)</f>
        <v>178.81818181818181</v>
      </c>
      <c r="X6" t="s">
        <v>383</v>
      </c>
      <c r="Y6" s="162">
        <f>MEDIAN(A5:A15)</f>
        <v>9</v>
      </c>
      <c r="Z6" s="102">
        <f>MEDIAN(B5:B15)</f>
        <v>16.5</v>
      </c>
      <c r="AB6" s="324"/>
      <c r="AC6" s="324" t="str">
        <f>A4</f>
        <v>New</v>
      </c>
      <c r="AD6" s="324" t="str">
        <f>B4</f>
        <v>Old</v>
      </c>
      <c r="AG6" s="126" t="str">
        <f>A4</f>
        <v>New</v>
      </c>
      <c r="AH6" s="126" t="str">
        <f>B4</f>
        <v>Old</v>
      </c>
      <c r="AJ6" s="324"/>
      <c r="AK6" s="324" t="str">
        <f>A4</f>
        <v>New</v>
      </c>
      <c r="AL6" s="324" t="str">
        <f>B4</f>
        <v>Old</v>
      </c>
      <c r="AN6" t="s">
        <v>87</v>
      </c>
      <c r="AO6">
        <f>COUNT(A5:A15)</f>
        <v>11</v>
      </c>
      <c r="AP6">
        <f>2*AO6</f>
        <v>22</v>
      </c>
      <c r="AS6" t="s">
        <v>87</v>
      </c>
      <c r="AT6">
        <f>COUNT(B5:B15)</f>
        <v>10</v>
      </c>
      <c r="AU6">
        <f>2*AT6</f>
        <v>20</v>
      </c>
    </row>
    <row r="7" spans="1:48" x14ac:dyDescent="0.25">
      <c r="A7" s="578">
        <v>2</v>
      </c>
      <c r="B7" s="578">
        <v>6</v>
      </c>
      <c r="D7" s="578" t="e">
        <f ca="1"/>
        <v>#NAME?</v>
      </c>
      <c r="E7" s="578" t="e">
        <f ca="1"/>
        <v>#NAME?</v>
      </c>
      <c r="G7" t="s">
        <v>1675</v>
      </c>
      <c r="H7">
        <f>H4-INT(0.1*H4)*2</f>
        <v>9</v>
      </c>
      <c r="I7">
        <f>I4-INT(0.1*I4)*2</f>
        <v>8</v>
      </c>
      <c r="K7" t="e">
        <f ca="1">FTEXT(H7)</f>
        <v>#NAME?</v>
      </c>
      <c r="M7" t="str">
        <f>B4</f>
        <v>Old</v>
      </c>
      <c r="N7">
        <f>COUNT(B5:B15)</f>
        <v>10</v>
      </c>
      <c r="O7">
        <f>AVERAGE(B5:B15)</f>
        <v>17.899999999999999</v>
      </c>
      <c r="P7">
        <f>VAR(B5:B15)</f>
        <v>144.76666666666668</v>
      </c>
      <c r="X7" t="s">
        <v>1676</v>
      </c>
      <c r="Y7" s="162" t="e">
        <f ca="1">RANK_SUM(A5:A15,B5:B15,1)</f>
        <v>#NAME?</v>
      </c>
      <c r="Z7" s="102" t="e">
        <f ca="1">RANK_SUM(B5:B15,A5:A15,1)</f>
        <v>#NAME?</v>
      </c>
      <c r="AB7" t="s">
        <v>75</v>
      </c>
      <c r="AC7">
        <f>AVERAGE(A5:A15)</f>
        <v>14.272727272727273</v>
      </c>
      <c r="AD7">
        <f>AVERAGE(B5:B15)</f>
        <v>17.899999999999999</v>
      </c>
      <c r="AF7" t="s">
        <v>142</v>
      </c>
      <c r="AG7" s="529">
        <f>AG14-$AG21</f>
        <v>2</v>
      </c>
      <c r="AH7" s="531">
        <f>AH14-$AG21</f>
        <v>0</v>
      </c>
      <c r="AJ7" t="s">
        <v>1677</v>
      </c>
      <c r="AK7" t="e">
        <f ca="1">SHAPIRO(A5:A15)</f>
        <v>#NAME?</v>
      </c>
      <c r="AL7" t="e">
        <f ca="1">SHAPIRO(B5:B15)</f>
        <v>#NAME?</v>
      </c>
      <c r="AN7" t="s">
        <v>75</v>
      </c>
      <c r="AO7">
        <f>AVERAGE(A5:A15)</f>
        <v>14.272727272727273</v>
      </c>
      <c r="AS7" t="s">
        <v>75</v>
      </c>
      <c r="AT7">
        <f>AVERAGE(B5:B15)</f>
        <v>17.899999999999999</v>
      </c>
    </row>
    <row r="8" spans="1:48" x14ac:dyDescent="0.25">
      <c r="A8" s="578">
        <v>9</v>
      </c>
      <c r="B8" s="578">
        <v>22</v>
      </c>
      <c r="D8" s="578" t="e">
        <f ca="1"/>
        <v>#NAME?</v>
      </c>
      <c r="E8" s="578" t="e">
        <f ca="1"/>
        <v>#NAME?</v>
      </c>
      <c r="G8" t="s">
        <v>1678</v>
      </c>
      <c r="H8">
        <f>TRIMMEAN(A5:A15,0.2)</f>
        <v>12.777777777777779</v>
      </c>
      <c r="I8">
        <f>TRIMMEAN(B5:B15,0.2)</f>
        <v>17.375</v>
      </c>
      <c r="K8" t="e">
        <f ca="1">FTEXT(H8)</f>
        <v>#NAME?</v>
      </c>
      <c r="M8" s="314" t="s">
        <v>206</v>
      </c>
      <c r="N8" s="314"/>
      <c r="O8" s="314"/>
      <c r="P8" s="314">
        <f>((N6-1)*P6+(N7-1)*P7)/(N6+N7-2)</f>
        <v>162.68851674641147</v>
      </c>
      <c r="Q8" s="314">
        <f>ABS(O6-O7-Q4)/SQRT(P8)</f>
        <v>0.28438177507672674</v>
      </c>
      <c r="X8" t="s">
        <v>1679</v>
      </c>
      <c r="Y8" s="273" t="e">
        <f ca="1">Y5*Z5+Y5*(Y5+1)/2-Y7</f>
        <v>#NAME?</v>
      </c>
      <c r="Z8" s="275" t="e">
        <f ca="1">Y5*Z5+Z5*(Z5+1)/2-Z7</f>
        <v>#NAME?</v>
      </c>
      <c r="AB8" t="s">
        <v>76</v>
      </c>
      <c r="AC8">
        <f>STDEV(A5:A15)/SQRT(COUNT(A5:A15))</f>
        <v>4.0318976111884881</v>
      </c>
      <c r="AD8">
        <f>STDEV(B5:B15)/SQRT(COUNT(B5:B15))</f>
        <v>3.8048215026025423</v>
      </c>
      <c r="AF8" t="s">
        <v>143</v>
      </c>
      <c r="AG8" s="162">
        <f>AG15-AG14</f>
        <v>4</v>
      </c>
      <c r="AH8" s="102">
        <f>AH15-AH14</f>
        <v>8.5</v>
      </c>
      <c r="AJ8" t="s">
        <v>182</v>
      </c>
      <c r="AK8" t="e">
        <f ca="1">SWTEST(A5:A15)</f>
        <v>#NAME?</v>
      </c>
      <c r="AL8" t="e">
        <f ca="1">SWTEST(B5:B15)</f>
        <v>#NAME?</v>
      </c>
      <c r="AN8" t="s">
        <v>164</v>
      </c>
      <c r="AO8">
        <f>STDEV(A5:A15)</f>
        <v>13.372291569442456</v>
      </c>
      <c r="AS8" t="s">
        <v>164</v>
      </c>
      <c r="AT8">
        <f>STDEV(B5:B15)</f>
        <v>12.031902038608305</v>
      </c>
    </row>
    <row r="9" spans="1:48" x14ac:dyDescent="0.25">
      <c r="A9" s="578">
        <v>5</v>
      </c>
      <c r="B9" s="578">
        <v>11</v>
      </c>
      <c r="D9" s="578" t="e">
        <f ca="1"/>
        <v>#NAME?</v>
      </c>
      <c r="E9" s="578" t="e">
        <f ca="1"/>
        <v>#NAME?</v>
      </c>
      <c r="G9" s="8" t="s">
        <v>1680</v>
      </c>
      <c r="H9" s="276" t="e">
        <f ca="1">VAR(D5:D15)</f>
        <v>#NAME?</v>
      </c>
      <c r="I9" s="276" t="e">
        <f ca="1">VAR(E5:E15)</f>
        <v>#NAME?</v>
      </c>
      <c r="K9" s="22" t="s">
        <v>1681</v>
      </c>
      <c r="AB9" t="s">
        <v>77</v>
      </c>
      <c r="AC9">
        <f>MEDIAN(A5:A15)</f>
        <v>9</v>
      </c>
      <c r="AD9">
        <f>MEDIAN(B5:B15)</f>
        <v>16.5</v>
      </c>
      <c r="AF9" t="s">
        <v>144</v>
      </c>
      <c r="AG9" s="162">
        <f t="shared" ref="AG9:AH11" si="0">AG16-AG15</f>
        <v>3</v>
      </c>
      <c r="AH9" s="102">
        <f t="shared" si="0"/>
        <v>8</v>
      </c>
      <c r="AJ9" t="s">
        <v>262</v>
      </c>
      <c r="AK9">
        <v>0.05</v>
      </c>
      <c r="AL9">
        <v>0.05</v>
      </c>
    </row>
    <row r="10" spans="1:48" ht="15.75" thickBot="1" x14ac:dyDescent="0.3">
      <c r="A10" s="578">
        <v>28</v>
      </c>
      <c r="B10" s="578">
        <v>27</v>
      </c>
      <c r="D10" s="578" t="e">
        <f ca="1"/>
        <v>#NAME?</v>
      </c>
      <c r="E10" s="578" t="e">
        <f ca="1"/>
        <v>#NAME?</v>
      </c>
      <c r="M10" t="s">
        <v>209</v>
      </c>
      <c r="Q10" t="s">
        <v>114</v>
      </c>
      <c r="R10">
        <v>0.05</v>
      </c>
      <c r="Y10" s="19" t="s">
        <v>1682</v>
      </c>
      <c r="Z10" s="19" t="s">
        <v>1683</v>
      </c>
      <c r="AB10" t="s">
        <v>78</v>
      </c>
      <c r="AC10">
        <f>MODE(A5:A15)</f>
        <v>9</v>
      </c>
      <c r="AD10" t="e">
        <f>MODE(B5:B15)</f>
        <v>#N/A</v>
      </c>
      <c r="AF10" t="s">
        <v>145</v>
      </c>
      <c r="AG10" s="162">
        <f t="shared" si="0"/>
        <v>10</v>
      </c>
      <c r="AH10" s="102">
        <f t="shared" si="0"/>
        <v>10</v>
      </c>
      <c r="AJ10" s="276" t="s">
        <v>704</v>
      </c>
      <c r="AK10" s="320" t="e">
        <f ca="1">IF(AK8&lt;AK9,"no","yes")</f>
        <v>#NAME?</v>
      </c>
      <c r="AL10" s="320" t="e">
        <f ca="1">IF(AL8&lt;AL9,"no","yes")</f>
        <v>#NAME?</v>
      </c>
      <c r="AN10" t="s">
        <v>192</v>
      </c>
      <c r="AO10" t="s">
        <v>193</v>
      </c>
      <c r="AP10" t="s">
        <v>1684</v>
      </c>
      <c r="AQ10" t="s">
        <v>194</v>
      </c>
      <c r="AS10" t="s">
        <v>192</v>
      </c>
      <c r="AT10" t="s">
        <v>193</v>
      </c>
      <c r="AU10" t="s">
        <v>1684</v>
      </c>
      <c r="AV10" t="s">
        <v>194</v>
      </c>
    </row>
    <row r="11" spans="1:48" ht="15.75" thickTop="1" x14ac:dyDescent="0.25">
      <c r="A11" s="578">
        <v>8</v>
      </c>
      <c r="B11" s="578">
        <v>10</v>
      </c>
      <c r="D11" s="578" t="e">
        <f ca="1"/>
        <v>#NAME?</v>
      </c>
      <c r="E11" s="578" t="e">
        <f ca="1"/>
        <v>#NAME?</v>
      </c>
      <c r="G11" t="s">
        <v>1685</v>
      </c>
      <c r="H11" s="45" t="e">
        <f ca="1">((H4-1)*H9+(I4-1)*I9)/H15</f>
        <v>#NAME?</v>
      </c>
      <c r="K11" t="e">
        <f ca="1">FTEXT(H11)</f>
        <v>#NAME?</v>
      </c>
      <c r="M11" s="291" t="s">
        <v>181</v>
      </c>
      <c r="N11" s="291" t="s">
        <v>424</v>
      </c>
      <c r="O11" s="291" t="s">
        <v>243</v>
      </c>
      <c r="P11" s="291" t="s">
        <v>168</v>
      </c>
      <c r="Q11" s="291" t="s">
        <v>182</v>
      </c>
      <c r="R11" s="291" t="s">
        <v>183</v>
      </c>
      <c r="S11" s="291" t="s">
        <v>102</v>
      </c>
      <c r="T11" s="291" t="s">
        <v>103</v>
      </c>
      <c r="U11" s="291" t="s">
        <v>381</v>
      </c>
      <c r="V11" s="291" t="s">
        <v>425</v>
      </c>
      <c r="X11" t="s">
        <v>262</v>
      </c>
      <c r="Y11" s="509">
        <v>0.05</v>
      </c>
      <c r="AB11" t="s">
        <v>79</v>
      </c>
      <c r="AC11">
        <f>STDEV(A5:A15)</f>
        <v>13.372291569442456</v>
      </c>
      <c r="AD11">
        <f>STDEV(B5:B15)</f>
        <v>12.031902038608305</v>
      </c>
      <c r="AF11" t="s">
        <v>146</v>
      </c>
      <c r="AG11" s="162">
        <f t="shared" si="0"/>
        <v>16</v>
      </c>
      <c r="AH11" s="102">
        <f t="shared" si="0"/>
        <v>11.5</v>
      </c>
      <c r="AN11">
        <v>1</v>
      </c>
      <c r="AO11" t="e">
        <f t="array" aca="1" ref="AO11:AO21" ca="1">QSORT(A5:A15)</f>
        <v>#NAME?</v>
      </c>
      <c r="AP11">
        <f>NORMSINV(AN11/AP$6)</f>
        <v>-1.6906216295848977</v>
      </c>
      <c r="AQ11" t="e">
        <f ca="1">STANDARDIZE(AO11,AO$7,AO$8)</f>
        <v>#NAME?</v>
      </c>
      <c r="AS11">
        <v>1</v>
      </c>
      <c r="AT11" t="e">
        <f t="array" aca="1" ref="AT11:AT20" ca="1">QSORT(B5:B15)</f>
        <v>#NAME?</v>
      </c>
      <c r="AU11">
        <f>NORMSINV(AS11/AU$6)</f>
        <v>-1.6448536269514726</v>
      </c>
      <c r="AV11" t="e">
        <f ca="1">STANDARDIZE(AT11,AT$7,AT$8)</f>
        <v>#NAME?</v>
      </c>
    </row>
    <row r="12" spans="1:48" x14ac:dyDescent="0.25">
      <c r="A12" s="578">
        <v>7</v>
      </c>
      <c r="B12" s="578">
        <v>25</v>
      </c>
      <c r="D12" s="578" t="e">
        <f ca="1"/>
        <v>#NAME?</v>
      </c>
      <c r="E12" s="578" t="e">
        <f ca="1"/>
        <v>#NAME?</v>
      </c>
      <c r="G12" t="s">
        <v>1687</v>
      </c>
      <c r="H12" s="163">
        <f>I8-H8</f>
        <v>4.5972222222222214</v>
      </c>
      <c r="K12" t="e">
        <f ca="1">FTEXT(H12)</f>
        <v>#NAME?</v>
      </c>
      <c r="M12" t="s">
        <v>185</v>
      </c>
      <c r="N12">
        <f>SQRT(P8*(1/N6+1/N7))</f>
        <v>5.5730347956392512</v>
      </c>
      <c r="O12">
        <f>(ABS(O6-O7-Q4))/N12</f>
        <v>0.65086130991160651</v>
      </c>
      <c r="P12">
        <f>N6+N7-2</f>
        <v>19</v>
      </c>
      <c r="Q12">
        <f>TDIST(O12,P12,1)</f>
        <v>0.26146504106631041</v>
      </c>
      <c r="R12">
        <f>TINV(R10*2,P12)</f>
        <v>1.7291328115213698</v>
      </c>
      <c r="U12" s="578" t="str">
        <f>IF(Q12&lt;R10,"yes","no")</f>
        <v>no</v>
      </c>
      <c r="V12">
        <f>SQRT(O12^2/(O12^2+P12))</f>
        <v>0.14768057153290462</v>
      </c>
      <c r="X12" t="s">
        <v>1679</v>
      </c>
      <c r="Y12" s="238" t="e">
        <f ca="1">MIN(Y8,Z8)</f>
        <v>#NAME?</v>
      </c>
      <c r="AB12" t="s">
        <v>80</v>
      </c>
      <c r="AC12">
        <f>VAR(A5:A15)</f>
        <v>178.81818181818181</v>
      </c>
      <c r="AD12">
        <f>VAR(B5:B15)</f>
        <v>144.76666666666668</v>
      </c>
      <c r="AF12" t="s">
        <v>75</v>
      </c>
      <c r="AG12" s="273">
        <f>AG19-$AG21</f>
        <v>14.272727272727273</v>
      </c>
      <c r="AH12" s="275">
        <f>AH19-$AG21</f>
        <v>17.899999999999999</v>
      </c>
      <c r="AJ12" t="s">
        <v>1686</v>
      </c>
      <c r="AN12">
        <f>AN11+2</f>
        <v>3</v>
      </c>
      <c r="AO12" t="e">
        <f ca="1"/>
        <v>#NAME?</v>
      </c>
      <c r="AP12">
        <f t="shared" ref="AP12:AP21" si="1">NORMSINV(AN12/AP$6)</f>
        <v>-1.096803562093513</v>
      </c>
      <c r="AQ12" t="e">
        <f t="shared" ref="AQ12:AQ21" ca="1" si="2">STANDARDIZE(AO12,AO$7,AO$8)</f>
        <v>#NAME?</v>
      </c>
      <c r="AS12">
        <f>AS11+2</f>
        <v>3</v>
      </c>
      <c r="AT12" t="e">
        <f ca="1"/>
        <v>#NAME?</v>
      </c>
      <c r="AU12">
        <f t="shared" ref="AU12:AU20" si="3">NORMSINV(AS12/AU$6)</f>
        <v>-1.0364333894937898</v>
      </c>
      <c r="AV12" t="e">
        <f t="shared" ref="AV12:AV20" ca="1" si="4">STANDARDIZE(AT12,AT$7,AT$8)</f>
        <v>#NAME?</v>
      </c>
    </row>
    <row r="13" spans="1:48" x14ac:dyDescent="0.25">
      <c r="A13" s="578">
        <v>9</v>
      </c>
      <c r="B13" s="578">
        <v>30</v>
      </c>
      <c r="D13" s="578" t="e">
        <f ca="1"/>
        <v>#NAME?</v>
      </c>
      <c r="E13" s="578" t="e">
        <f ca="1"/>
        <v>#NAME?</v>
      </c>
      <c r="G13" t="s">
        <v>372</v>
      </c>
      <c r="H13" s="163" t="e">
        <f ca="1">SQRT((1/H7+1/I7)*H11)</f>
        <v>#NAME?</v>
      </c>
      <c r="K13" t="e">
        <f ca="1">FTEXT(H13)</f>
        <v>#NAME?</v>
      </c>
      <c r="M13" t="s">
        <v>186</v>
      </c>
      <c r="N13">
        <f>N12</f>
        <v>5.5730347956392512</v>
      </c>
      <c r="O13">
        <f>O12</f>
        <v>0.65086130991160651</v>
      </c>
      <c r="P13">
        <f>P12</f>
        <v>19</v>
      </c>
      <c r="Q13">
        <f>TDIST(O13,P13,2)</f>
        <v>0.52293008213262082</v>
      </c>
      <c r="R13">
        <f>TINV(R10,P13)</f>
        <v>2.0930240544083096</v>
      </c>
      <c r="S13">
        <f>(O6-O7)-R13*N13</f>
        <v>-15.291768610600176</v>
      </c>
      <c r="T13">
        <f>(O6-O7)+R13*N13</f>
        <v>8.0372231560547256</v>
      </c>
      <c r="U13" s="578" t="str">
        <f>IF(Q13&lt;R10,"yes","no")</f>
        <v>no</v>
      </c>
      <c r="V13">
        <f>V12</f>
        <v>0.14768057153290462</v>
      </c>
      <c r="X13" t="s">
        <v>63</v>
      </c>
      <c r="Y13" s="238">
        <f>Y5*Z5/2</f>
        <v>55</v>
      </c>
      <c r="AB13" t="s">
        <v>81</v>
      </c>
      <c r="AC13">
        <f>KURT(A5:A15)</f>
        <v>-0.12098375957061958</v>
      </c>
      <c r="AD13">
        <f>KURT(B5:B15)</f>
        <v>-1.2767344542811241</v>
      </c>
      <c r="AN13">
        <f t="shared" ref="AN13:AN21" si="5">AN12+2</f>
        <v>5</v>
      </c>
      <c r="AO13" t="e">
        <f ca="1"/>
        <v>#NAME?</v>
      </c>
      <c r="AP13">
        <f t="shared" si="1"/>
        <v>-0.74785859476330196</v>
      </c>
      <c r="AQ13" t="e">
        <f t="shared" ca="1" si="2"/>
        <v>#NAME?</v>
      </c>
      <c r="AS13">
        <f t="shared" ref="AS13:AS20" si="6">AS12+2</f>
        <v>5</v>
      </c>
      <c r="AT13" t="e">
        <f ca="1"/>
        <v>#NAME?</v>
      </c>
      <c r="AU13">
        <f t="shared" si="3"/>
        <v>-0.67448975019608193</v>
      </c>
      <c r="AV13" t="e">
        <f t="shared" ca="1" si="4"/>
        <v>#NAME?</v>
      </c>
    </row>
    <row r="14" spans="1:48" x14ac:dyDescent="0.25">
      <c r="A14" s="578">
        <v>35</v>
      </c>
      <c r="B14" s="578">
        <v>38</v>
      </c>
      <c r="D14" s="578" t="e">
        <f ca="1"/>
        <v>#NAME?</v>
      </c>
      <c r="E14" s="578" t="e">
        <f ca="1"/>
        <v>#NAME?</v>
      </c>
      <c r="G14" t="s">
        <v>243</v>
      </c>
      <c r="H14" s="163" t="e">
        <f ca="1">H12/H13</f>
        <v>#NAME?</v>
      </c>
      <c r="K14" t="e">
        <f ca="1">FTEXT(H14)</f>
        <v>#NAME?</v>
      </c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X14" t="s">
        <v>199</v>
      </c>
      <c r="Y14" s="238" t="e">
        <f ca="1">SQRT(Y13*(Y5+Z5+1)/6*(1-TiesCorrection(A5:A15,B5:B15,2)/((Y5+Z5)^3-Y5-Z5)))</f>
        <v>#NAME?</v>
      </c>
      <c r="Z14" t="s">
        <v>1688</v>
      </c>
      <c r="AB14" t="s">
        <v>82</v>
      </c>
      <c r="AC14">
        <f>SKEW(A5:A15)</f>
        <v>1.2158652977210749</v>
      </c>
      <c r="AD14">
        <f>SKEW(B5:B15)</f>
        <v>0.28513306194635185</v>
      </c>
      <c r="AF14" t="s">
        <v>142</v>
      </c>
      <c r="AG14" s="529">
        <f t="array" ref="AG14">MIN(IF(A5:A15&gt;=AG15-3*(AG17-AG15)/2,A5:A15,""))</f>
        <v>2</v>
      </c>
      <c r="AH14" s="531">
        <f t="array" ref="AH14">MIN(IF(B5:B15&gt;=AH15-3*(AH17-AH15)/2,B5:B15,""))</f>
        <v>0</v>
      </c>
      <c r="AJ14" s="314" t="s">
        <v>1689</v>
      </c>
      <c r="AK14" s="314" t="e">
        <f ca="1">DAGOSTINO(A5:A15)</f>
        <v>#NAME?</v>
      </c>
      <c r="AL14" s="314" t="e">
        <f ca="1">DAGOSTINO(B5:B15)</f>
        <v>#NAME?</v>
      </c>
      <c r="AN14">
        <f t="shared" si="5"/>
        <v>7</v>
      </c>
      <c r="AO14" t="e">
        <f ca="1"/>
        <v>#NAME?</v>
      </c>
      <c r="AP14">
        <f t="shared" si="1"/>
        <v>-0.47278912099226744</v>
      </c>
      <c r="AQ14" t="e">
        <f t="shared" ca="1" si="2"/>
        <v>#NAME?</v>
      </c>
      <c r="AS14">
        <f t="shared" si="6"/>
        <v>7</v>
      </c>
      <c r="AT14" t="e">
        <f ca="1"/>
        <v>#NAME?</v>
      </c>
      <c r="AU14">
        <f t="shared" si="3"/>
        <v>-0.38532046640756784</v>
      </c>
      <c r="AV14" t="e">
        <f t="shared" ca="1" si="4"/>
        <v>#NAME?</v>
      </c>
    </row>
    <row r="15" spans="1:48" ht="15.75" thickBot="1" x14ac:dyDescent="0.3">
      <c r="A15" s="527">
        <v>40</v>
      </c>
      <c r="B15" s="527"/>
      <c r="D15" s="527" t="e">
        <f ca="1"/>
        <v>#NAME?</v>
      </c>
      <c r="E15" s="527" t="e">
        <f ca="1"/>
        <v>#NAME?</v>
      </c>
      <c r="G15" t="s">
        <v>168</v>
      </c>
      <c r="H15" s="163">
        <f>H7+I7-2</f>
        <v>15</v>
      </c>
      <c r="K15" t="e">
        <f ca="1">FTEXT(H15)</f>
        <v>#NAME?</v>
      </c>
      <c r="M15" t="s">
        <v>214</v>
      </c>
      <c r="Q15" t="s">
        <v>114</v>
      </c>
      <c r="R15">
        <f>R10</f>
        <v>0.05</v>
      </c>
      <c r="X15" t="s">
        <v>466</v>
      </c>
      <c r="Y15" s="238" t="e">
        <f ca="1">ABS(STANDARDIZE(Y12,Y13,Y14))</f>
        <v>#NAME?</v>
      </c>
      <c r="AB15" t="s">
        <v>83</v>
      </c>
      <c r="AC15">
        <f>AC16-AC17</f>
        <v>38</v>
      </c>
      <c r="AD15">
        <f>AD16-AD17</f>
        <v>36</v>
      </c>
      <c r="AF15" t="s">
        <v>148</v>
      </c>
      <c r="AG15" s="162">
        <f>QUARTILE(A5:A15,1)</f>
        <v>6</v>
      </c>
      <c r="AH15" s="102">
        <f>QUARTILE(B5:B15,1)</f>
        <v>8.5</v>
      </c>
      <c r="AJ15" t="s">
        <v>182</v>
      </c>
      <c r="AK15" t="e">
        <f ca="1">DPTEST(A5:A15)</f>
        <v>#NAME?</v>
      </c>
      <c r="AL15" t="e">
        <f ca="1">DPTEST(B5:B15)</f>
        <v>#NAME?</v>
      </c>
      <c r="AN15">
        <f t="shared" si="5"/>
        <v>9</v>
      </c>
      <c r="AO15" t="e">
        <f ca="1"/>
        <v>#NAME?</v>
      </c>
      <c r="AP15">
        <f t="shared" si="1"/>
        <v>-0.22988411757923208</v>
      </c>
      <c r="AQ15" t="e">
        <f t="shared" ca="1" si="2"/>
        <v>#NAME?</v>
      </c>
      <c r="AS15">
        <f t="shared" si="6"/>
        <v>9</v>
      </c>
      <c r="AT15" t="e">
        <f ca="1"/>
        <v>#NAME?</v>
      </c>
      <c r="AU15">
        <f t="shared" si="3"/>
        <v>-0.12566134685507402</v>
      </c>
      <c r="AV15" t="e">
        <f t="shared" ca="1" si="4"/>
        <v>#NAME?</v>
      </c>
    </row>
    <row r="16" spans="1:48" ht="15.75" thickTop="1" x14ac:dyDescent="0.25">
      <c r="G16" t="s">
        <v>182</v>
      </c>
      <c r="H16" s="155" t="e">
        <f ca="1">TDIST(ABS(H14),H15,2)</f>
        <v>#NAME?</v>
      </c>
      <c r="K16" s="22" t="s">
        <v>1703</v>
      </c>
      <c r="M16" s="291" t="s">
        <v>181</v>
      </c>
      <c r="N16" s="291" t="s">
        <v>424</v>
      </c>
      <c r="O16" s="291" t="s">
        <v>243</v>
      </c>
      <c r="P16" s="291" t="s">
        <v>168</v>
      </c>
      <c r="Q16" s="291" t="s">
        <v>182</v>
      </c>
      <c r="R16" s="291" t="s">
        <v>183</v>
      </c>
      <c r="S16" s="291" t="s">
        <v>102</v>
      </c>
      <c r="T16" s="291" t="s">
        <v>103</v>
      </c>
      <c r="U16" s="291" t="s">
        <v>381</v>
      </c>
      <c r="V16" s="291" t="s">
        <v>425</v>
      </c>
      <c r="X16" t="s">
        <v>425</v>
      </c>
      <c r="Y16" s="238" t="e">
        <f ca="1">Y15/SQRT(Y5+Z5)</f>
        <v>#NAME?</v>
      </c>
      <c r="AB16" t="s">
        <v>85</v>
      </c>
      <c r="AC16">
        <f>MAX(A5:A15)</f>
        <v>40</v>
      </c>
      <c r="AD16">
        <f>MAX(B5:B15)</f>
        <v>38</v>
      </c>
      <c r="AF16" t="s">
        <v>77</v>
      </c>
      <c r="AG16" s="162">
        <f>MEDIAN(A5:A15)</f>
        <v>9</v>
      </c>
      <c r="AH16" s="102">
        <f>MEDIAN(B5:B15)</f>
        <v>16.5</v>
      </c>
      <c r="AJ16" t="s">
        <v>262</v>
      </c>
      <c r="AK16">
        <v>0.05</v>
      </c>
      <c r="AL16">
        <v>0.05</v>
      </c>
      <c r="AN16">
        <f t="shared" si="5"/>
        <v>11</v>
      </c>
      <c r="AO16" t="e">
        <f ca="1"/>
        <v>#NAME?</v>
      </c>
      <c r="AP16">
        <f t="shared" si="1"/>
        <v>0</v>
      </c>
      <c r="AQ16" t="e">
        <f t="shared" ca="1" si="2"/>
        <v>#NAME?</v>
      </c>
      <c r="AS16">
        <f t="shared" si="6"/>
        <v>11</v>
      </c>
      <c r="AT16" t="e">
        <f ca="1"/>
        <v>#NAME?</v>
      </c>
      <c r="AU16">
        <f t="shared" si="3"/>
        <v>0.12566134685507416</v>
      </c>
      <c r="AV16" t="e">
        <f t="shared" ca="1" si="4"/>
        <v>#NAME?</v>
      </c>
    </row>
    <row r="17" spans="7:48" x14ac:dyDescent="0.25">
      <c r="M17" t="s">
        <v>185</v>
      </c>
      <c r="N17">
        <f>SQRT(P6/N6+P7/N7)</f>
        <v>5.5437230282341945</v>
      </c>
      <c r="O17">
        <f>(ABS(O6-O7-Q4))/N17</f>
        <v>0.65430266064863207</v>
      </c>
      <c r="P17">
        <f>(P6/N6+P7/N7)^2/((P6/N6)^2/(N6-1)+(P7/N7)^2/(N7-1))</f>
        <v>18.999470535331312</v>
      </c>
      <c r="Q17" t="e">
        <f ca="1">T_DIST_RT(O17,P17)</f>
        <v>#NAME?</v>
      </c>
      <c r="R17" t="e">
        <f ca="1">T_INV(1-R15,P17)</f>
        <v>#NAME?</v>
      </c>
      <c r="U17" s="578" t="e">
        <f ca="1">IF(Q17&lt;R15,"yes","no")</f>
        <v>#NAME?</v>
      </c>
      <c r="V17">
        <f>SQRT(O17^2/(O17^2+P17))</f>
        <v>0.14844627537026292</v>
      </c>
      <c r="X17" t="s">
        <v>1690</v>
      </c>
      <c r="Y17" s="509" t="e">
        <f ca="1">Y13+Y14*NORMSINV(Y11)</f>
        <v>#NAME?</v>
      </c>
      <c r="Z17" s="531" t="e">
        <f ca="1">Y13+Y14*NORMSINV(Y11/2)</f>
        <v>#NAME?</v>
      </c>
      <c r="AB17" t="s">
        <v>84</v>
      </c>
      <c r="AC17">
        <f>MIN(A5:A15)</f>
        <v>2</v>
      </c>
      <c r="AD17">
        <f>MIN(B5:B15)</f>
        <v>2</v>
      </c>
      <c r="AF17" t="s">
        <v>421</v>
      </c>
      <c r="AG17" s="162">
        <f>QUARTILE(A5:A15,3)</f>
        <v>19</v>
      </c>
      <c r="AH17" s="102">
        <f>QUARTILE(B5:B15,3)</f>
        <v>26.5</v>
      </c>
      <c r="AJ17" s="276" t="s">
        <v>704</v>
      </c>
      <c r="AK17" s="320" t="e">
        <f ca="1">IF(AK15&lt;AK16,"no","yes")</f>
        <v>#NAME?</v>
      </c>
      <c r="AL17" s="320" t="e">
        <f ca="1">IF(AL15&lt;AL16,"no","yes")</f>
        <v>#NAME?</v>
      </c>
      <c r="AN17">
        <f t="shared" si="5"/>
        <v>13</v>
      </c>
      <c r="AO17" t="e">
        <f ca="1"/>
        <v>#NAME?</v>
      </c>
      <c r="AP17">
        <f t="shared" si="1"/>
        <v>0.22988411757923222</v>
      </c>
      <c r="AQ17" t="e">
        <f t="shared" ca="1" si="2"/>
        <v>#NAME?</v>
      </c>
      <c r="AS17">
        <f t="shared" si="6"/>
        <v>13</v>
      </c>
      <c r="AT17" t="e">
        <f ca="1"/>
        <v>#NAME?</v>
      </c>
      <c r="AU17">
        <f t="shared" si="3"/>
        <v>0.38532046640756784</v>
      </c>
      <c r="AV17" t="e">
        <f t="shared" ca="1" si="4"/>
        <v>#NAME?</v>
      </c>
    </row>
    <row r="18" spans="7:48" x14ac:dyDescent="0.25">
      <c r="G18" t="e">
        <f t="array" aca="1" ref="G18:H20" ca="1">TRIMTEST(A5:A15,B5:B15,TRUE)</f>
        <v>#NAME?</v>
      </c>
      <c r="H18" s="486" t="e">
        <f ca="1"/>
        <v>#NAME?</v>
      </c>
      <c r="K18" t="e">
        <f ca="1">FTEXT(H18)</f>
        <v>#NAME?</v>
      </c>
      <c r="M18" t="s">
        <v>186</v>
      </c>
      <c r="N18">
        <f>N17</f>
        <v>5.5437230282341945</v>
      </c>
      <c r="O18">
        <f>O17</f>
        <v>0.65430266064863207</v>
      </c>
      <c r="P18">
        <f>P17</f>
        <v>18.999470535331312</v>
      </c>
      <c r="Q18" t="e">
        <f ca="1">T_DIST_2T(O18,P18)</f>
        <v>#NAME?</v>
      </c>
      <c r="R18" t="e">
        <f ca="1">T_INV_2T(R15,P18)</f>
        <v>#NAME?</v>
      </c>
      <c r="S18" t="e">
        <f ca="1">(O6-O7)-R18*N18</f>
        <v>#NAME?</v>
      </c>
      <c r="T18" t="e">
        <f ca="1">(O6-O7)+R18*N18</f>
        <v>#NAME?</v>
      </c>
      <c r="U18" s="578" t="e">
        <f ca="1">IF(Q18&lt;R15,"yes","no")</f>
        <v>#NAME?</v>
      </c>
      <c r="V18">
        <f>V17</f>
        <v>0.14844627537026292</v>
      </c>
      <c r="X18" t="s">
        <v>182</v>
      </c>
      <c r="Y18" s="238" t="e">
        <f ca="1">1-NORMSDIST(Y15)</f>
        <v>#NAME?</v>
      </c>
      <c r="Z18" s="102" t="e">
        <f ca="1">2*Y18</f>
        <v>#NAME?</v>
      </c>
      <c r="AB18" t="s">
        <v>86</v>
      </c>
      <c r="AC18">
        <f>SUM(A5:A15)</f>
        <v>157</v>
      </c>
      <c r="AD18">
        <f>SUM(B5:B15)</f>
        <v>179</v>
      </c>
      <c r="AF18" t="s">
        <v>1471</v>
      </c>
      <c r="AG18" s="162">
        <f t="array" ref="AG18">MAX(IF(A5:A15&lt;=AG17+3*(AG17-AG15)/2,A5:A15,""))</f>
        <v>35</v>
      </c>
      <c r="AH18" s="102">
        <f t="array" ref="AH18">MAX(IF(B5:B15&lt;=AH17+3*(AH17-AH15)/2,B5:B15,""))</f>
        <v>38</v>
      </c>
      <c r="AN18">
        <f t="shared" si="5"/>
        <v>15</v>
      </c>
      <c r="AO18" t="e">
        <f ca="1"/>
        <v>#NAME?</v>
      </c>
      <c r="AP18">
        <f t="shared" si="1"/>
        <v>0.47278912099226728</v>
      </c>
      <c r="AQ18" t="e">
        <f t="shared" ca="1" si="2"/>
        <v>#NAME?</v>
      </c>
      <c r="AS18">
        <f t="shared" si="6"/>
        <v>15</v>
      </c>
      <c r="AT18" t="e">
        <f ca="1"/>
        <v>#NAME?</v>
      </c>
      <c r="AU18">
        <f t="shared" si="3"/>
        <v>0.67448975019608193</v>
      </c>
      <c r="AV18" t="e">
        <f t="shared" ca="1" si="4"/>
        <v>#NAME?</v>
      </c>
    </row>
    <row r="19" spans="7:48" x14ac:dyDescent="0.25">
      <c r="G19" t="e">
        <f ca="1"/>
        <v>#NAME?</v>
      </c>
      <c r="H19" s="163" t="e">
        <f ca="1"/>
        <v>#NAME?</v>
      </c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X19" t="s">
        <v>1691</v>
      </c>
      <c r="Y19" s="579" t="e">
        <f ca="1">IF(Y18&lt;Y11,"yes","no")</f>
        <v>#NAME?</v>
      </c>
      <c r="Z19" s="327" t="e">
        <f ca="1">IF(Z18&lt;Y11,"yes","no")</f>
        <v>#NAME?</v>
      </c>
      <c r="AB19" t="s">
        <v>87</v>
      </c>
      <c r="AC19">
        <f>COUNT(A5:A15)</f>
        <v>11</v>
      </c>
      <c r="AD19">
        <f>COUNT(B5:B15)</f>
        <v>10</v>
      </c>
      <c r="AF19" t="s">
        <v>75</v>
      </c>
      <c r="AG19" s="273">
        <f>AVERAGE(A5:A15)</f>
        <v>14.272727272727273</v>
      </c>
      <c r="AH19" s="275">
        <f>AVERAGE(B5:B15)</f>
        <v>17.899999999999999</v>
      </c>
      <c r="AN19">
        <f t="shared" si="5"/>
        <v>17</v>
      </c>
      <c r="AO19" t="e">
        <f ca="1"/>
        <v>#NAME?</v>
      </c>
      <c r="AP19">
        <f t="shared" si="1"/>
        <v>0.74785859476330196</v>
      </c>
      <c r="AQ19" t="e">
        <f t="shared" ca="1" si="2"/>
        <v>#NAME?</v>
      </c>
      <c r="AS19">
        <f t="shared" si="6"/>
        <v>17</v>
      </c>
      <c r="AT19" t="e">
        <f ca="1"/>
        <v>#NAME?</v>
      </c>
      <c r="AU19">
        <f t="shared" si="3"/>
        <v>1.0364333894937898</v>
      </c>
      <c r="AV19" t="e">
        <f t="shared" ca="1" si="4"/>
        <v>#NAME?</v>
      </c>
    </row>
    <row r="20" spans="7:48" x14ac:dyDescent="0.25">
      <c r="G20" t="e">
        <f ca="1"/>
        <v>#NAME?</v>
      </c>
      <c r="H20" s="155" t="e">
        <f ca="1"/>
        <v>#NAME?</v>
      </c>
      <c r="AB20" t="s">
        <v>33</v>
      </c>
      <c r="AC20">
        <f>GEOMEAN(A5:A15)</f>
        <v>9.6949861120576113</v>
      </c>
      <c r="AD20">
        <f>GEOMEAN(B5:B15)</f>
        <v>13.34226377395594</v>
      </c>
      <c r="AN20">
        <f t="shared" si="5"/>
        <v>19</v>
      </c>
      <c r="AO20" t="e">
        <f ca="1"/>
        <v>#NAME?</v>
      </c>
      <c r="AP20">
        <f t="shared" si="1"/>
        <v>1.096803562093513</v>
      </c>
      <c r="AQ20" t="e">
        <f t="shared" ca="1" si="2"/>
        <v>#NAME?</v>
      </c>
      <c r="AS20">
        <f t="shared" si="6"/>
        <v>19</v>
      </c>
      <c r="AT20" t="e">
        <f ca="1"/>
        <v>#NAME?</v>
      </c>
      <c r="AU20">
        <f t="shared" si="3"/>
        <v>1.6448536269514715</v>
      </c>
      <c r="AV20" t="e">
        <f t="shared" ca="1" si="4"/>
        <v>#NAME?</v>
      </c>
    </row>
    <row r="21" spans="7:48" x14ac:dyDescent="0.25">
      <c r="X21" t="s">
        <v>1690</v>
      </c>
      <c r="Y21" s="509" t="e">
        <f ca="1">MCRIT(Y5,Z5,Y11,1)</f>
        <v>#NAME?</v>
      </c>
      <c r="Z21" s="509" t="e">
        <f ca="1">MCRIT(Y5,Z5,Y11,2)</f>
        <v>#NAME?</v>
      </c>
      <c r="AB21" t="s">
        <v>90</v>
      </c>
      <c r="AC21">
        <f>HARMEAN(A5:A15)</f>
        <v>6.7510959571358997</v>
      </c>
      <c r="AD21">
        <f>HARMEAN(B5:B15)</f>
        <v>8.5857805901716144</v>
      </c>
      <c r="AF21" t="s">
        <v>1432</v>
      </c>
      <c r="AG21" s="528">
        <f>IF(MIN(AG14:AH14)&gt;=0,0,MIN(AG14:AH14))</f>
        <v>0</v>
      </c>
      <c r="AN21">
        <f t="shared" si="5"/>
        <v>21</v>
      </c>
      <c r="AO21" t="e">
        <f ca="1"/>
        <v>#NAME?</v>
      </c>
      <c r="AP21">
        <f t="shared" si="1"/>
        <v>1.6906216295848984</v>
      </c>
      <c r="AQ21" t="e">
        <f t="shared" ca="1" si="2"/>
        <v>#NAME?</v>
      </c>
    </row>
    <row r="22" spans="7:48" x14ac:dyDescent="0.25">
      <c r="X22" t="s">
        <v>1692</v>
      </c>
      <c r="Y22" s="579" t="str">
        <f ca="1">IF(ISNUMBER(Y21),IF(Y12&lt;Y21,"yes","no"),"no")</f>
        <v>no</v>
      </c>
      <c r="Z22" s="579" t="str">
        <f ca="1">IF(ISNUMBER(Z21),IF(Y12&lt;Z21,"yes","no"),"no")</f>
        <v>no</v>
      </c>
      <c r="AB22" t="s">
        <v>91</v>
      </c>
      <c r="AC22">
        <f>AVEDEV(A5:A15)</f>
        <v>10.942148760330577</v>
      </c>
      <c r="AD22">
        <f>AVEDEV(B5:B15)</f>
        <v>10.499999999999996</v>
      </c>
    </row>
    <row r="23" spans="7:48" x14ac:dyDescent="0.25">
      <c r="AB23" t="s">
        <v>92</v>
      </c>
      <c r="AC23" t="e">
        <f ca="1">MAD(A5:A15)</f>
        <v>#NAME?</v>
      </c>
      <c r="AD23" t="e">
        <f ca="1">MAD(B5:B15)</f>
        <v>#NAME?</v>
      </c>
    </row>
    <row r="24" spans="7:48" x14ac:dyDescent="0.25">
      <c r="X24" t="s">
        <v>182</v>
      </c>
      <c r="Y24" s="509" t="e">
        <f ca="1">MANN_EXACT(A5:A15,B5:B15,1)</f>
        <v>#NAME?</v>
      </c>
      <c r="Z24" s="509" t="e">
        <f ca="1">2*Y24</f>
        <v>#NAME?</v>
      </c>
      <c r="AB24" s="276" t="s">
        <v>93</v>
      </c>
      <c r="AC24" s="276" t="e">
        <f ca="1">IQR(A5:A15,FALSE)</f>
        <v>#NAME?</v>
      </c>
      <c r="AD24" s="276" t="e">
        <f ca="1">IQR(B5:B15,FALSE)</f>
        <v>#NAME?</v>
      </c>
    </row>
    <row r="25" spans="7:48" x14ac:dyDescent="0.25">
      <c r="X25" t="s">
        <v>1693</v>
      </c>
      <c r="Y25" s="579" t="e">
        <f ca="1">IF(Y24&lt;Y11,"yes","no")</f>
        <v>#NAME?</v>
      </c>
      <c r="Z25" s="579" t="e">
        <f ca="1">IF(Z24&lt;Y11,"yes","no")</f>
        <v>#NAME?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AX26"/>
  <sheetViews>
    <sheetView workbookViewId="0"/>
  </sheetViews>
  <sheetFormatPr defaultRowHeight="15" x14ac:dyDescent="0.25"/>
  <cols>
    <col min="1" max="2" width="6" customWidth="1"/>
    <col min="3" max="3" width="3.7109375" customWidth="1"/>
    <col min="4" max="5" width="6" customWidth="1"/>
    <col min="6" max="6" width="4.140625" customWidth="1"/>
    <col min="7" max="7" width="10.42578125" customWidth="1"/>
    <col min="10" max="10" width="3.42578125" customWidth="1"/>
    <col min="11" max="11" width="37" customWidth="1"/>
  </cols>
  <sheetData>
    <row r="1" spans="1:50" x14ac:dyDescent="0.25">
      <c r="A1" s="1" t="s">
        <v>1694</v>
      </c>
    </row>
    <row r="3" spans="1:50" x14ac:dyDescent="0.25">
      <c r="A3" s="598" t="s">
        <v>193</v>
      </c>
      <c r="B3" s="598"/>
      <c r="D3" s="598" t="s">
        <v>964</v>
      </c>
      <c r="E3" s="598"/>
      <c r="H3" s="492" t="s">
        <v>197</v>
      </c>
      <c r="I3" s="492" t="s">
        <v>198</v>
      </c>
      <c r="M3" t="s">
        <v>200</v>
      </c>
      <c r="X3" t="s">
        <v>1671</v>
      </c>
      <c r="AD3" t="s">
        <v>94</v>
      </c>
      <c r="AH3" t="s">
        <v>699</v>
      </c>
      <c r="AL3" t="s">
        <v>703</v>
      </c>
      <c r="AP3" t="s">
        <v>1672</v>
      </c>
      <c r="AU3" t="s">
        <v>1673</v>
      </c>
    </row>
    <row r="4" spans="1:50" x14ac:dyDescent="0.25">
      <c r="A4" s="492" t="s">
        <v>197</v>
      </c>
      <c r="B4" s="492" t="s">
        <v>198</v>
      </c>
      <c r="D4" s="492" t="s">
        <v>197</v>
      </c>
      <c r="E4" s="492" t="s">
        <v>198</v>
      </c>
      <c r="G4" t="s">
        <v>360</v>
      </c>
      <c r="H4">
        <f>COUNT(A5:A15)</f>
        <v>11</v>
      </c>
      <c r="I4">
        <f>COUNT(B5:B15)</f>
        <v>10</v>
      </c>
      <c r="K4" t="e">
        <f ca="1">FTEXT(H4)</f>
        <v>#NAME?</v>
      </c>
    </row>
    <row r="5" spans="1:50" ht="15.75" thickBot="1" x14ac:dyDescent="0.3">
      <c r="A5" s="578">
        <v>4</v>
      </c>
      <c r="B5" s="578">
        <v>12</v>
      </c>
      <c r="D5" s="578" t="e">
        <f t="array" aca="1" ref="D5:D15" ca="1">WINSORIZE(A5:A15,0.2)</f>
        <v>#NAME?</v>
      </c>
      <c r="E5" s="578" t="e">
        <f t="array" aca="1" ref="E5:E15" ca="1">WINSORIZE(B5:B15,0.2)</f>
        <v>#NAME?</v>
      </c>
      <c r="G5" t="s">
        <v>63</v>
      </c>
      <c r="H5">
        <f>AVERAGE(A5:A15)</f>
        <v>14.272727272727273</v>
      </c>
      <c r="I5">
        <f>AVERAGE(B5:B15)</f>
        <v>11.1</v>
      </c>
      <c r="K5" t="e">
        <f ca="1">FTEXT(H5)</f>
        <v>#NAME?</v>
      </c>
      <c r="M5" t="s">
        <v>176</v>
      </c>
      <c r="P5" t="s">
        <v>202</v>
      </c>
      <c r="Q5">
        <v>0</v>
      </c>
      <c r="Y5" t="str">
        <f>A4</f>
        <v>New</v>
      </c>
      <c r="Z5" t="str">
        <f>B4</f>
        <v>Old</v>
      </c>
      <c r="AD5" s="324"/>
      <c r="AE5" s="324" t="str">
        <f>A4</f>
        <v>New</v>
      </c>
      <c r="AF5" s="324" t="str">
        <f>B4</f>
        <v>Old</v>
      </c>
      <c r="AI5" s="126" t="str">
        <f>A4</f>
        <v>New</v>
      </c>
      <c r="AJ5" s="126" t="str">
        <f>B4</f>
        <v>Old</v>
      </c>
      <c r="AL5" s="324"/>
      <c r="AM5" s="324" t="str">
        <f>A4</f>
        <v>New</v>
      </c>
      <c r="AN5" s="324" t="str">
        <f>B4</f>
        <v>Old</v>
      </c>
      <c r="AP5" t="s">
        <v>87</v>
      </c>
      <c r="AQ5">
        <f>COUNT(A5:A15)</f>
        <v>11</v>
      </c>
      <c r="AR5">
        <f>2*AQ5</f>
        <v>22</v>
      </c>
      <c r="AU5" t="s">
        <v>87</v>
      </c>
      <c r="AV5">
        <f>COUNT(B5:B15)</f>
        <v>10</v>
      </c>
      <c r="AW5">
        <f>2*AV5</f>
        <v>20</v>
      </c>
    </row>
    <row r="6" spans="1:50" ht="15.75" thickTop="1" x14ac:dyDescent="0.25">
      <c r="A6" s="578">
        <v>10</v>
      </c>
      <c r="B6" s="578">
        <v>8</v>
      </c>
      <c r="D6" s="578" t="e">
        <f ca="1"/>
        <v>#NAME?</v>
      </c>
      <c r="E6" s="578" t="e">
        <f ca="1"/>
        <v>#NAME?</v>
      </c>
      <c r="G6" t="s">
        <v>427</v>
      </c>
      <c r="H6">
        <f>VAR(A5:A15)</f>
        <v>178.81818181818181</v>
      </c>
      <c r="I6">
        <f>VAR(B5:B15)</f>
        <v>18.766666666666676</v>
      </c>
      <c r="K6" s="22" t="s">
        <v>1674</v>
      </c>
      <c r="M6" s="291" t="s">
        <v>203</v>
      </c>
      <c r="N6" s="291" t="s">
        <v>87</v>
      </c>
      <c r="O6" s="291" t="s">
        <v>75</v>
      </c>
      <c r="P6" s="291" t="s">
        <v>204</v>
      </c>
      <c r="Q6" s="291" t="s">
        <v>178</v>
      </c>
      <c r="X6" t="s">
        <v>360</v>
      </c>
      <c r="Y6" s="529">
        <f>COUNT(A5:A15)</f>
        <v>11</v>
      </c>
      <c r="Z6" s="531">
        <f>COUNT(B5:B15)</f>
        <v>10</v>
      </c>
      <c r="AD6" t="s">
        <v>75</v>
      </c>
      <c r="AE6">
        <f>AVERAGE(A5:A15)</f>
        <v>14.272727272727273</v>
      </c>
      <c r="AF6">
        <f>AVERAGE(B5:B15)</f>
        <v>11.1</v>
      </c>
      <c r="AH6" t="s">
        <v>142</v>
      </c>
      <c r="AI6" s="529">
        <f>AI13-$AI20</f>
        <v>2</v>
      </c>
      <c r="AJ6" s="531">
        <f>AJ13-$AI20</f>
        <v>4</v>
      </c>
      <c r="AL6" t="s">
        <v>1677</v>
      </c>
      <c r="AM6" t="e">
        <f ca="1">SHAPIRO(A5:A15)</f>
        <v>#NAME?</v>
      </c>
      <c r="AN6" t="e">
        <f ca="1">SHAPIRO(B5:B15)</f>
        <v>#NAME?</v>
      </c>
      <c r="AP6" t="s">
        <v>75</v>
      </c>
      <c r="AQ6">
        <f>AVERAGE(A5:A15)</f>
        <v>14.272727272727273</v>
      </c>
      <c r="AU6" t="s">
        <v>75</v>
      </c>
      <c r="AV6">
        <f>AVERAGE(B5:B15)</f>
        <v>11.1</v>
      </c>
    </row>
    <row r="7" spans="1:50" x14ac:dyDescent="0.25">
      <c r="A7" s="578">
        <v>2</v>
      </c>
      <c r="B7" s="578">
        <v>6</v>
      </c>
      <c r="D7" s="578" t="e">
        <f ca="1"/>
        <v>#NAME?</v>
      </c>
      <c r="E7" s="578" t="e">
        <f ca="1"/>
        <v>#NAME?</v>
      </c>
      <c r="G7" t="s">
        <v>1675</v>
      </c>
      <c r="H7">
        <f>H4-INT(0.1*H4)*2</f>
        <v>9</v>
      </c>
      <c r="I7">
        <f>I4-INT(0.1*I4)*2</f>
        <v>8</v>
      </c>
      <c r="K7" t="e">
        <f ca="1">FTEXT(H7)</f>
        <v>#NAME?</v>
      </c>
      <c r="M7" t="str">
        <f>A4</f>
        <v>New</v>
      </c>
      <c r="N7">
        <f>COUNT(A5:A15)</f>
        <v>11</v>
      </c>
      <c r="O7">
        <f>AVERAGE(A5:A15)</f>
        <v>14.272727272727273</v>
      </c>
      <c r="P7">
        <f>VAR(A5:A15)</f>
        <v>178.81818181818181</v>
      </c>
      <c r="X7" t="s">
        <v>383</v>
      </c>
      <c r="Y7" s="162">
        <f>MEDIAN(A5:A15)</f>
        <v>9</v>
      </c>
      <c r="Z7" s="102">
        <f>MEDIAN(B5:B15)</f>
        <v>11.5</v>
      </c>
      <c r="AD7" t="s">
        <v>76</v>
      </c>
      <c r="AE7">
        <f>STDEV(A5:A15)/SQRT(COUNT(A5:A15))</f>
        <v>4.0318976111884881</v>
      </c>
      <c r="AF7">
        <f>STDEV(B5:B15)/SQRT(COUNT(B5:B15))</f>
        <v>1.3699148392023015</v>
      </c>
      <c r="AH7" t="s">
        <v>143</v>
      </c>
      <c r="AI7" s="162">
        <f>AI14-AI13</f>
        <v>4</v>
      </c>
      <c r="AJ7" s="102">
        <f>AJ14-AJ13</f>
        <v>4.5</v>
      </c>
      <c r="AL7" t="s">
        <v>182</v>
      </c>
      <c r="AM7" t="e">
        <f ca="1">SWTEST(A5:A15)</f>
        <v>#NAME?</v>
      </c>
      <c r="AN7" t="e">
        <f ca="1">SWTEST(B5:B15)</f>
        <v>#NAME?</v>
      </c>
      <c r="AP7" t="s">
        <v>164</v>
      </c>
      <c r="AQ7">
        <f>STDEV(A5:A15)</f>
        <v>13.372291569442456</v>
      </c>
      <c r="AU7" t="s">
        <v>164</v>
      </c>
      <c r="AV7">
        <f>STDEV(B5:B15)</f>
        <v>4.3320510923425957</v>
      </c>
    </row>
    <row r="8" spans="1:50" x14ac:dyDescent="0.25">
      <c r="A8" s="578">
        <v>9</v>
      </c>
      <c r="B8" s="578">
        <v>16</v>
      </c>
      <c r="D8" s="578" t="e">
        <f ca="1"/>
        <v>#NAME?</v>
      </c>
      <c r="E8" s="578" t="e">
        <f ca="1"/>
        <v>#NAME?</v>
      </c>
      <c r="G8" t="s">
        <v>1678</v>
      </c>
      <c r="H8">
        <f>TRIMMEAN(A5:A15,0.2)</f>
        <v>12.777777777777779</v>
      </c>
      <c r="I8">
        <f>TRIMMEAN(B5:B15,0.2)</f>
        <v>11.125</v>
      </c>
      <c r="K8" t="e">
        <f ca="1">FTEXT(H8)</f>
        <v>#NAME?</v>
      </c>
      <c r="M8" t="str">
        <f>B4</f>
        <v>Old</v>
      </c>
      <c r="N8">
        <f>COUNT(B5:B15)</f>
        <v>10</v>
      </c>
      <c r="O8">
        <f>AVERAGE(B5:B15)</f>
        <v>11.1</v>
      </c>
      <c r="P8">
        <f>VAR(B5:B15)</f>
        <v>18.766666666666676</v>
      </c>
      <c r="X8" t="s">
        <v>1676</v>
      </c>
      <c r="Y8" s="162" t="e">
        <f ca="1">RANK_SUM(A5:A15,B5:B15,1)</f>
        <v>#NAME?</v>
      </c>
      <c r="Z8" s="102" t="e">
        <f ca="1">RANK_SUM(B5:B15,A5:A15,1)</f>
        <v>#NAME?</v>
      </c>
      <c r="AD8" t="s">
        <v>77</v>
      </c>
      <c r="AE8">
        <f>MEDIAN(A5:A15)</f>
        <v>9</v>
      </c>
      <c r="AF8">
        <f>MEDIAN(B5:B15)</f>
        <v>11.5</v>
      </c>
      <c r="AH8" t="s">
        <v>144</v>
      </c>
      <c r="AI8" s="162">
        <f t="shared" ref="AI8:AJ10" si="0">AI15-AI14</f>
        <v>3</v>
      </c>
      <c r="AJ8" s="102">
        <f t="shared" si="0"/>
        <v>3</v>
      </c>
      <c r="AL8" t="s">
        <v>262</v>
      </c>
      <c r="AM8">
        <v>0.05</v>
      </c>
      <c r="AN8">
        <v>0.05</v>
      </c>
    </row>
    <row r="9" spans="1:50" x14ac:dyDescent="0.25">
      <c r="A9" s="578">
        <v>5</v>
      </c>
      <c r="B9" s="578">
        <v>12</v>
      </c>
      <c r="D9" s="578" t="e">
        <f ca="1"/>
        <v>#NAME?</v>
      </c>
      <c r="E9" s="578" t="e">
        <f ca="1"/>
        <v>#NAME?</v>
      </c>
      <c r="G9" s="8" t="s">
        <v>1680</v>
      </c>
      <c r="H9" s="8" t="e">
        <f ca="1">VAR(D5:D15)</f>
        <v>#NAME?</v>
      </c>
      <c r="I9" s="8" t="e">
        <f ca="1">VAR(E5:E15)</f>
        <v>#NAME?</v>
      </c>
      <c r="K9" s="22" t="s">
        <v>1681</v>
      </c>
      <c r="M9" s="314" t="s">
        <v>206</v>
      </c>
      <c r="N9" s="314"/>
      <c r="O9" s="314"/>
      <c r="P9" s="314">
        <f>((N7-1)*P7+(N8-1)*P8)/(N7+N8-2)</f>
        <v>103.00430622009569</v>
      </c>
      <c r="Q9" s="314">
        <f>ABS(O7-O8-Q5)/SQRT(P9)</f>
        <v>0.3126115725867652</v>
      </c>
      <c r="X9" t="s">
        <v>1679</v>
      </c>
      <c r="Y9" s="273" t="e">
        <f ca="1">Y6*Z6+Y6*(Y6+1)/2-Y8</f>
        <v>#NAME?</v>
      </c>
      <c r="Z9" s="275" t="e">
        <f ca="1">Y6*Z6+Z6*(Z6+1)/2-Z8</f>
        <v>#NAME?</v>
      </c>
      <c r="AD9" t="s">
        <v>78</v>
      </c>
      <c r="AE9">
        <f>MODE(A5:A15)</f>
        <v>9</v>
      </c>
      <c r="AF9">
        <f>MODE(B5:B15)</f>
        <v>12</v>
      </c>
      <c r="AH9" t="s">
        <v>145</v>
      </c>
      <c r="AI9" s="162">
        <f t="shared" si="0"/>
        <v>10</v>
      </c>
      <c r="AJ9" s="102">
        <f t="shared" si="0"/>
        <v>2</v>
      </c>
      <c r="AL9" s="276" t="s">
        <v>704</v>
      </c>
      <c r="AM9" s="320" t="e">
        <f ca="1">IF(AM7&lt;AM8,"no","yes")</f>
        <v>#NAME?</v>
      </c>
      <c r="AN9" s="320" t="e">
        <f ca="1">IF(AN7&lt;AN8,"no","yes")</f>
        <v>#NAME?</v>
      </c>
      <c r="AP9" t="s">
        <v>192</v>
      </c>
      <c r="AQ9" t="s">
        <v>193</v>
      </c>
      <c r="AR9" t="s">
        <v>1684</v>
      </c>
      <c r="AS9" t="s">
        <v>194</v>
      </c>
      <c r="AU9" t="s">
        <v>192</v>
      </c>
      <c r="AV9" t="s">
        <v>193</v>
      </c>
      <c r="AW9" t="s">
        <v>1684</v>
      </c>
      <c r="AX9" t="s">
        <v>194</v>
      </c>
    </row>
    <row r="10" spans="1:50" x14ac:dyDescent="0.25">
      <c r="A10" s="578">
        <v>28</v>
      </c>
      <c r="B10" s="578">
        <v>14</v>
      </c>
      <c r="D10" s="578" t="e">
        <f ca="1"/>
        <v>#NAME?</v>
      </c>
      <c r="E10" s="578" t="e">
        <f ca="1"/>
        <v>#NAME?</v>
      </c>
      <c r="G10" s="54" t="s">
        <v>1695</v>
      </c>
      <c r="H10" s="276" t="e">
        <f ca="1">H9*(H4-1)/(H7*(H7-1))</f>
        <v>#NAME?</v>
      </c>
      <c r="I10" s="276" t="e">
        <f ca="1">I9*(I4-1)/(I7*(I7-1))</f>
        <v>#NAME?</v>
      </c>
      <c r="K10" t="e">
        <f ca="1">FTEXT(H10)</f>
        <v>#NAME?</v>
      </c>
      <c r="AD10" t="s">
        <v>79</v>
      </c>
      <c r="AE10">
        <f>STDEV(A5:A15)</f>
        <v>13.372291569442456</v>
      </c>
      <c r="AF10">
        <f>STDEV(B5:B15)</f>
        <v>4.3320510923425957</v>
      </c>
      <c r="AH10" t="s">
        <v>146</v>
      </c>
      <c r="AI10" s="162">
        <f t="shared" si="0"/>
        <v>16</v>
      </c>
      <c r="AJ10" s="102">
        <f t="shared" si="0"/>
        <v>4.5</v>
      </c>
      <c r="AP10">
        <v>1</v>
      </c>
      <c r="AQ10" t="e">
        <f t="array" aca="1" ref="AQ10:AQ20" ca="1">QSORT(A5:A15)</f>
        <v>#NAME?</v>
      </c>
      <c r="AR10">
        <f>NORMSINV(AP10/AR$5)</f>
        <v>-1.6906216295848977</v>
      </c>
      <c r="AS10" t="e">
        <f ca="1">STANDARDIZE(AQ10,AQ$6,AQ$7)</f>
        <v>#NAME?</v>
      </c>
      <c r="AU10">
        <v>1</v>
      </c>
      <c r="AV10" t="e">
        <f t="array" aca="1" ref="AV10:AV19" ca="1">QSORT(B5:B15)</f>
        <v>#NAME?</v>
      </c>
      <c r="AW10">
        <f>NORMSINV(AU10/AW$5)</f>
        <v>-1.6448536269514726</v>
      </c>
      <c r="AX10" t="e">
        <f ca="1">STANDARDIZE(AV10,AV$6,AV$7)</f>
        <v>#NAME?</v>
      </c>
    </row>
    <row r="11" spans="1:50" ht="15.75" thickBot="1" x14ac:dyDescent="0.3">
      <c r="A11" s="578">
        <v>8</v>
      </c>
      <c r="B11" s="578">
        <v>10</v>
      </c>
      <c r="D11" s="578" t="e">
        <f ca="1"/>
        <v>#NAME?</v>
      </c>
      <c r="E11" s="578" t="e">
        <f ca="1"/>
        <v>#NAME?</v>
      </c>
      <c r="K11" t="e">
        <f ca="1">FTEXT(H11)</f>
        <v>#NAME?</v>
      </c>
      <c r="M11" t="s">
        <v>209</v>
      </c>
      <c r="Q11" t="s">
        <v>114</v>
      </c>
      <c r="R11">
        <v>0.05</v>
      </c>
      <c r="Y11" s="19" t="s">
        <v>1682</v>
      </c>
      <c r="Z11" s="19" t="s">
        <v>1683</v>
      </c>
      <c r="AD11" t="s">
        <v>80</v>
      </c>
      <c r="AE11">
        <f>VAR(A5:A15)</f>
        <v>178.81818181818181</v>
      </c>
      <c r="AF11">
        <f>VAR(B5:B15)</f>
        <v>18.766666666666676</v>
      </c>
      <c r="AH11" t="s">
        <v>75</v>
      </c>
      <c r="AI11" s="273">
        <f>AI18-$AI20</f>
        <v>14.272727272727273</v>
      </c>
      <c r="AJ11" s="275">
        <f>AJ18-$AI20</f>
        <v>11.1</v>
      </c>
      <c r="AL11" t="s">
        <v>1686</v>
      </c>
      <c r="AP11">
        <f>AP10+2</f>
        <v>3</v>
      </c>
      <c r="AQ11" t="e">
        <f ca="1"/>
        <v>#NAME?</v>
      </c>
      <c r="AR11">
        <f t="shared" ref="AR11:AR20" si="1">NORMSINV(AP11/AR$5)</f>
        <v>-1.096803562093513</v>
      </c>
      <c r="AS11" t="e">
        <f t="shared" ref="AS11:AS20" ca="1" si="2">STANDARDIZE(AQ11,AQ$6,AQ$7)</f>
        <v>#NAME?</v>
      </c>
      <c r="AU11">
        <f>AU10+2</f>
        <v>3</v>
      </c>
      <c r="AV11" t="e">
        <f ca="1"/>
        <v>#NAME?</v>
      </c>
      <c r="AW11">
        <f t="shared" ref="AW11:AW19" si="3">NORMSINV(AU11/AW$5)</f>
        <v>-1.0364333894937898</v>
      </c>
      <c r="AX11" t="e">
        <f t="shared" ref="AX11:AX19" ca="1" si="4">STANDARDIZE(AV11,AV$6,AV$7)</f>
        <v>#NAME?</v>
      </c>
    </row>
    <row r="12" spans="1:50" ht="15.75" thickTop="1" x14ac:dyDescent="0.25">
      <c r="A12" s="578">
        <v>7</v>
      </c>
      <c r="B12" s="578">
        <v>18</v>
      </c>
      <c r="D12" s="578" t="e">
        <f ca="1"/>
        <v>#NAME?</v>
      </c>
      <c r="E12" s="578" t="e">
        <f ca="1"/>
        <v>#NAME?</v>
      </c>
      <c r="G12" t="s">
        <v>1687</v>
      </c>
      <c r="H12" s="486">
        <f>H8-I8</f>
        <v>1.6527777777777786</v>
      </c>
      <c r="K12" t="e">
        <f ca="1">FTEXT(H12)</f>
        <v>#NAME?</v>
      </c>
      <c r="M12" s="291" t="s">
        <v>181</v>
      </c>
      <c r="N12" s="291" t="s">
        <v>424</v>
      </c>
      <c r="O12" s="291" t="s">
        <v>243</v>
      </c>
      <c r="P12" s="291" t="s">
        <v>168</v>
      </c>
      <c r="Q12" s="291" t="s">
        <v>182</v>
      </c>
      <c r="R12" s="291" t="s">
        <v>183</v>
      </c>
      <c r="S12" s="291" t="s">
        <v>102</v>
      </c>
      <c r="T12" s="291" t="s">
        <v>103</v>
      </c>
      <c r="U12" s="291" t="s">
        <v>381</v>
      </c>
      <c r="V12" s="291" t="s">
        <v>425</v>
      </c>
      <c r="X12" t="s">
        <v>262</v>
      </c>
      <c r="Y12" s="509">
        <v>0.05</v>
      </c>
      <c r="AD12" t="s">
        <v>81</v>
      </c>
      <c r="AE12">
        <f>KURT(A5:A15)</f>
        <v>-0.12098375957061958</v>
      </c>
      <c r="AF12">
        <f>KURT(B5:B15)</f>
        <v>-0.48052017705201688</v>
      </c>
      <c r="AP12">
        <f t="shared" ref="AP12:AP20" si="5">AP11+2</f>
        <v>5</v>
      </c>
      <c r="AQ12" t="e">
        <f ca="1"/>
        <v>#NAME?</v>
      </c>
      <c r="AR12">
        <f t="shared" si="1"/>
        <v>-0.74785859476330196</v>
      </c>
      <c r="AS12" t="e">
        <f t="shared" ca="1" si="2"/>
        <v>#NAME?</v>
      </c>
      <c r="AU12">
        <f t="shared" ref="AU12:AU19" si="6">AU11+2</f>
        <v>5</v>
      </c>
      <c r="AV12" t="e">
        <f ca="1"/>
        <v>#NAME?</v>
      </c>
      <c r="AW12">
        <f t="shared" si="3"/>
        <v>-0.67448975019608193</v>
      </c>
      <c r="AX12" t="e">
        <f t="shared" ca="1" si="4"/>
        <v>#NAME?</v>
      </c>
    </row>
    <row r="13" spans="1:50" x14ac:dyDescent="0.25">
      <c r="A13" s="578">
        <v>9</v>
      </c>
      <c r="B13" s="578">
        <v>4</v>
      </c>
      <c r="D13" s="578" t="e">
        <f ca="1"/>
        <v>#NAME?</v>
      </c>
      <c r="E13" s="578" t="e">
        <f ca="1"/>
        <v>#NAME?</v>
      </c>
      <c r="G13" t="s">
        <v>372</v>
      </c>
      <c r="H13" s="163" t="e">
        <f ca="1">SQRT(H10+I10)</f>
        <v>#NAME?</v>
      </c>
      <c r="K13" t="e">
        <f ca="1">FTEXT(H13)</f>
        <v>#NAME?</v>
      </c>
      <c r="M13" t="s">
        <v>185</v>
      </c>
      <c r="N13">
        <f>SQRT(P9*(1/N7+1/N8))</f>
        <v>4.4344625897847063</v>
      </c>
      <c r="O13">
        <f>(ABS(O7-O8-Q5))/N13</f>
        <v>0.71547052398999045</v>
      </c>
      <c r="P13">
        <f>N7+N8-2</f>
        <v>19</v>
      </c>
      <c r="Q13">
        <f>TDIST(O13,P13,1)</f>
        <v>0.24150942082350724</v>
      </c>
      <c r="R13">
        <f>TINV(R11*2,P13)</f>
        <v>1.7291328115213698</v>
      </c>
      <c r="U13" s="578" t="str">
        <f>IF(Q13&lt;R11,"yes","no")</f>
        <v>no</v>
      </c>
      <c r="V13">
        <f>SQRT(O13^2/(O13^2+P13))</f>
        <v>0.16197276167422758</v>
      </c>
      <c r="X13" t="s">
        <v>1679</v>
      </c>
      <c r="Y13" s="238" t="e">
        <f ca="1">MIN(Y9,Z9)</f>
        <v>#NAME?</v>
      </c>
      <c r="AD13" t="s">
        <v>82</v>
      </c>
      <c r="AE13">
        <f>SKEW(A5:A15)</f>
        <v>1.2158652977210749</v>
      </c>
      <c r="AF13">
        <f>SKEW(B5:B15)</f>
        <v>-8.4872770786567103E-2</v>
      </c>
      <c r="AH13" t="s">
        <v>142</v>
      </c>
      <c r="AI13" s="529">
        <f t="array" ref="AI13">MIN(IF(A5:A15&gt;=AI14-3*(AI16-AI14)/2,A5:A15,""))</f>
        <v>2</v>
      </c>
      <c r="AJ13" s="531">
        <f t="array" ref="AJ13">MIN(IF(B5:B15&gt;=AJ14-3*(AJ16-AJ14)/2,B5:B15,""))</f>
        <v>4</v>
      </c>
      <c r="AL13" s="314" t="s">
        <v>1689</v>
      </c>
      <c r="AM13" s="314" t="e">
        <f ca="1">DAGOSTINO(A5:A15)</f>
        <v>#NAME?</v>
      </c>
      <c r="AN13" s="314" t="e">
        <f ca="1">DAGOSTINO(B5:B15)</f>
        <v>#NAME?</v>
      </c>
      <c r="AP13">
        <f t="shared" si="5"/>
        <v>7</v>
      </c>
      <c r="AQ13" t="e">
        <f ca="1"/>
        <v>#NAME?</v>
      </c>
      <c r="AR13">
        <f t="shared" si="1"/>
        <v>-0.47278912099226744</v>
      </c>
      <c r="AS13" t="e">
        <f t="shared" ca="1" si="2"/>
        <v>#NAME?</v>
      </c>
      <c r="AU13">
        <f t="shared" si="6"/>
        <v>7</v>
      </c>
      <c r="AV13" t="e">
        <f ca="1"/>
        <v>#NAME?</v>
      </c>
      <c r="AW13">
        <f t="shared" si="3"/>
        <v>-0.38532046640756784</v>
      </c>
      <c r="AX13" t="e">
        <f t="shared" ca="1" si="4"/>
        <v>#NAME?</v>
      </c>
    </row>
    <row r="14" spans="1:50" x14ac:dyDescent="0.25">
      <c r="A14" s="578">
        <v>35</v>
      </c>
      <c r="B14" s="578">
        <v>11</v>
      </c>
      <c r="D14" s="578" t="e">
        <f ca="1"/>
        <v>#NAME?</v>
      </c>
      <c r="E14" s="578" t="e">
        <f ca="1"/>
        <v>#NAME?</v>
      </c>
      <c r="G14" t="s">
        <v>243</v>
      </c>
      <c r="H14" s="163" t="e">
        <f ca="1">H12/H13</f>
        <v>#NAME?</v>
      </c>
      <c r="K14" t="e">
        <f ca="1">FTEXT(H14)</f>
        <v>#NAME?</v>
      </c>
      <c r="M14" t="s">
        <v>186</v>
      </c>
      <c r="N14">
        <f>N13</f>
        <v>4.4344625897847063</v>
      </c>
      <c r="O14">
        <f>O13</f>
        <v>0.71547052398999045</v>
      </c>
      <c r="P14">
        <f>P13</f>
        <v>19</v>
      </c>
      <c r="Q14">
        <f>TDIST(O14,P14,2)</f>
        <v>0.48301884164701447</v>
      </c>
      <c r="R14">
        <f>TINV(R11,P14)</f>
        <v>2.0930240544083096</v>
      </c>
      <c r="S14">
        <f>(O7-O8)-R14*N14</f>
        <v>-6.1087095960658857</v>
      </c>
      <c r="T14">
        <f>(O7-O8)+R14*N14</f>
        <v>12.454164141520433</v>
      </c>
      <c r="U14" s="578" t="str">
        <f>IF(Q14&lt;R11,"yes","no")</f>
        <v>no</v>
      </c>
      <c r="V14">
        <f>V13</f>
        <v>0.16197276167422758</v>
      </c>
      <c r="X14" t="s">
        <v>63</v>
      </c>
      <c r="Y14" s="238">
        <f>Y6*Z6/2</f>
        <v>55</v>
      </c>
      <c r="AD14" t="s">
        <v>83</v>
      </c>
      <c r="AE14">
        <f>AE15-AE16</f>
        <v>38</v>
      </c>
      <c r="AF14">
        <f>AF15-AF16</f>
        <v>14</v>
      </c>
      <c r="AH14" t="s">
        <v>148</v>
      </c>
      <c r="AI14" s="162">
        <f>QUARTILE(A5:A15,1)</f>
        <v>6</v>
      </c>
      <c r="AJ14" s="102">
        <f>QUARTILE(B5:B15,1)</f>
        <v>8.5</v>
      </c>
      <c r="AL14" t="s">
        <v>182</v>
      </c>
      <c r="AM14" t="e">
        <f ca="1">DPTEST(A5:A15)</f>
        <v>#NAME?</v>
      </c>
      <c r="AN14" t="e">
        <f ca="1">DPTEST(B5:B15)</f>
        <v>#NAME?</v>
      </c>
      <c r="AP14">
        <f t="shared" si="5"/>
        <v>9</v>
      </c>
      <c r="AQ14" t="e">
        <f ca="1"/>
        <v>#NAME?</v>
      </c>
      <c r="AR14">
        <f t="shared" si="1"/>
        <v>-0.22988411757923208</v>
      </c>
      <c r="AS14" t="e">
        <f t="shared" ca="1" si="2"/>
        <v>#NAME?</v>
      </c>
      <c r="AU14">
        <f t="shared" si="6"/>
        <v>9</v>
      </c>
      <c r="AV14" t="e">
        <f ca="1"/>
        <v>#NAME?</v>
      </c>
      <c r="AW14">
        <f t="shared" si="3"/>
        <v>-0.12566134685507402</v>
      </c>
      <c r="AX14" t="e">
        <f t="shared" ca="1" si="4"/>
        <v>#NAME?</v>
      </c>
    </row>
    <row r="15" spans="1:50" x14ac:dyDescent="0.25">
      <c r="A15" s="527">
        <v>40</v>
      </c>
      <c r="B15" s="527"/>
      <c r="D15" s="527" t="e">
        <f ca="1"/>
        <v>#NAME?</v>
      </c>
      <c r="E15" s="527" t="e">
        <f ca="1"/>
        <v>#NAME?</v>
      </c>
      <c r="G15" t="s">
        <v>168</v>
      </c>
      <c r="H15" s="163" t="e">
        <f ca="1">(H10+I10)^2/(H10^2/(H7-1)+I10^2/(I7-1))</f>
        <v>#NAME?</v>
      </c>
      <c r="K15" t="e">
        <f ca="1">FTEXT(H15)</f>
        <v>#NAME?</v>
      </c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X15" t="s">
        <v>199</v>
      </c>
      <c r="Y15" s="238" t="e">
        <f ca="1">SQRT(Y14*(Y6+Z6+1)/6*(1-TiesCorrection(A5:A15,B5:B15,2)/((Y6+Z6)^3-Y6-Z6)))</f>
        <v>#NAME?</v>
      </c>
      <c r="Z15" t="s">
        <v>1688</v>
      </c>
      <c r="AD15" t="s">
        <v>85</v>
      </c>
      <c r="AE15">
        <f>MAX(A5:A15)</f>
        <v>40</v>
      </c>
      <c r="AF15">
        <f>MAX(B5:B15)</f>
        <v>18</v>
      </c>
      <c r="AH15" t="s">
        <v>77</v>
      </c>
      <c r="AI15" s="162">
        <f>MEDIAN(A5:A15)</f>
        <v>9</v>
      </c>
      <c r="AJ15" s="102">
        <f>MEDIAN(B5:B15)</f>
        <v>11.5</v>
      </c>
      <c r="AL15" t="s">
        <v>262</v>
      </c>
      <c r="AM15">
        <v>0.05</v>
      </c>
      <c r="AN15">
        <v>0.05</v>
      </c>
      <c r="AP15">
        <f t="shared" si="5"/>
        <v>11</v>
      </c>
      <c r="AQ15" t="e">
        <f ca="1"/>
        <v>#NAME?</v>
      </c>
      <c r="AR15">
        <f t="shared" si="1"/>
        <v>0</v>
      </c>
      <c r="AS15" t="e">
        <f t="shared" ca="1" si="2"/>
        <v>#NAME?</v>
      </c>
      <c r="AU15">
        <f t="shared" si="6"/>
        <v>11</v>
      </c>
      <c r="AV15" t="e">
        <f ca="1"/>
        <v>#NAME?</v>
      </c>
      <c r="AW15">
        <f t="shared" si="3"/>
        <v>0.12566134685507416</v>
      </c>
      <c r="AX15" t="e">
        <f t="shared" ca="1" si="4"/>
        <v>#NAME?</v>
      </c>
    </row>
    <row r="16" spans="1:50" ht="15.75" thickBot="1" x14ac:dyDescent="0.3">
      <c r="G16" t="s">
        <v>182</v>
      </c>
      <c r="H16" s="155" t="e">
        <f ca="1">TDIST(ABS(H14),H15,2)</f>
        <v>#NAME?</v>
      </c>
      <c r="K16" s="22" t="s">
        <v>1703</v>
      </c>
      <c r="M16" t="s">
        <v>214</v>
      </c>
      <c r="Q16" t="s">
        <v>114</v>
      </c>
      <c r="R16">
        <f>R11</f>
        <v>0.05</v>
      </c>
      <c r="X16" t="s">
        <v>466</v>
      </c>
      <c r="Y16" s="238" t="e">
        <f ca="1">ABS(STANDARDIZE(Y13,Y14,Y15))</f>
        <v>#NAME?</v>
      </c>
      <c r="AD16" t="s">
        <v>84</v>
      </c>
      <c r="AE16">
        <f>MIN(A5:A15)</f>
        <v>2</v>
      </c>
      <c r="AF16">
        <f>MIN(B5:B15)</f>
        <v>4</v>
      </c>
      <c r="AH16" t="s">
        <v>421</v>
      </c>
      <c r="AI16" s="162">
        <f>QUARTILE(A5:A15,3)</f>
        <v>19</v>
      </c>
      <c r="AJ16" s="102">
        <f>QUARTILE(B5:B15,3)</f>
        <v>13.5</v>
      </c>
      <c r="AL16" s="276" t="s">
        <v>704</v>
      </c>
      <c r="AM16" s="320" t="e">
        <f ca="1">IF(AM14&lt;AM15,"no","yes")</f>
        <v>#NAME?</v>
      </c>
      <c r="AN16" s="320" t="e">
        <f ca="1">IF(AN14&lt;AN15,"no","yes")</f>
        <v>#NAME?</v>
      </c>
      <c r="AP16">
        <f t="shared" si="5"/>
        <v>13</v>
      </c>
      <c r="AQ16" t="e">
        <f ca="1"/>
        <v>#NAME?</v>
      </c>
      <c r="AR16">
        <f t="shared" si="1"/>
        <v>0.22988411757923222</v>
      </c>
      <c r="AS16" t="e">
        <f t="shared" ca="1" si="2"/>
        <v>#NAME?</v>
      </c>
      <c r="AU16">
        <f t="shared" si="6"/>
        <v>13</v>
      </c>
      <c r="AV16" t="e">
        <f ca="1"/>
        <v>#NAME?</v>
      </c>
      <c r="AW16">
        <f t="shared" si="3"/>
        <v>0.38532046640756784</v>
      </c>
      <c r="AX16" t="e">
        <f t="shared" ca="1" si="4"/>
        <v>#NAME?</v>
      </c>
    </row>
    <row r="17" spans="7:50" ht="15.75" thickTop="1" x14ac:dyDescent="0.25">
      <c r="M17" s="291" t="s">
        <v>181</v>
      </c>
      <c r="N17" s="291" t="s">
        <v>424</v>
      </c>
      <c r="O17" s="291" t="s">
        <v>243</v>
      </c>
      <c r="P17" s="291" t="s">
        <v>168</v>
      </c>
      <c r="Q17" s="291" t="s">
        <v>182</v>
      </c>
      <c r="R17" s="291" t="s">
        <v>183</v>
      </c>
      <c r="S17" s="291" t="s">
        <v>102</v>
      </c>
      <c r="T17" s="291" t="s">
        <v>103</v>
      </c>
      <c r="U17" s="291" t="s">
        <v>381</v>
      </c>
      <c r="V17" s="291" t="s">
        <v>425</v>
      </c>
      <c r="X17" t="s">
        <v>425</v>
      </c>
      <c r="Y17" s="238" t="e">
        <f ca="1">Y16/SQRT(Y6+Z6)</f>
        <v>#NAME?</v>
      </c>
      <c r="AD17" t="s">
        <v>86</v>
      </c>
      <c r="AE17">
        <f>SUM(A5:A15)</f>
        <v>157</v>
      </c>
      <c r="AF17">
        <f>SUM(B5:B15)</f>
        <v>111</v>
      </c>
      <c r="AH17" t="s">
        <v>1471</v>
      </c>
      <c r="AI17" s="162">
        <f t="array" ref="AI17">MAX(IF(A5:A15&lt;=AI16+3*(AI16-AI14)/2,A5:A15,""))</f>
        <v>35</v>
      </c>
      <c r="AJ17" s="102">
        <f t="array" ref="AJ17">MAX(IF(B5:B15&lt;=AJ16+3*(AJ16-AJ14)/2,B5:B15,""))</f>
        <v>18</v>
      </c>
      <c r="AP17">
        <f t="shared" si="5"/>
        <v>15</v>
      </c>
      <c r="AQ17" t="e">
        <f ca="1"/>
        <v>#NAME?</v>
      </c>
      <c r="AR17">
        <f t="shared" si="1"/>
        <v>0.47278912099226728</v>
      </c>
      <c r="AS17" t="e">
        <f t="shared" ca="1" si="2"/>
        <v>#NAME?</v>
      </c>
      <c r="AU17">
        <f t="shared" si="6"/>
        <v>15</v>
      </c>
      <c r="AV17" t="e">
        <f ca="1"/>
        <v>#NAME?</v>
      </c>
      <c r="AW17">
        <f t="shared" si="3"/>
        <v>0.67448975019608193</v>
      </c>
      <c r="AX17" t="e">
        <f t="shared" ca="1" si="4"/>
        <v>#NAME?</v>
      </c>
    </row>
    <row r="18" spans="7:50" x14ac:dyDescent="0.25">
      <c r="G18" t="e">
        <f t="array" aca="1" ref="G18:H20" ca="1">YUENTEST(A5:A15,B5:B15,TRUE)</f>
        <v>#NAME?</v>
      </c>
      <c r="H18" s="486" t="e">
        <f ca="1"/>
        <v>#NAME?</v>
      </c>
      <c r="K18" t="e">
        <f ca="1">FTEXT(H18)</f>
        <v>#NAME?</v>
      </c>
      <c r="M18" t="s">
        <v>185</v>
      </c>
      <c r="N18">
        <f>SQRT(P7/N7+P8/N8)</f>
        <v>4.2582701903207258</v>
      </c>
      <c r="O18">
        <f>(ABS(O7-O8-Q5))/N18</f>
        <v>0.74507420406038383</v>
      </c>
      <c r="P18">
        <f>(P7/N7+P8/N8)^2/((P7/N7)^2/(N7-1)+(P8/N8)^2/(N8-1))</f>
        <v>12.260580518893244</v>
      </c>
      <c r="Q18" t="e">
        <f ca="1">T_DIST_RT(O18,P18)</f>
        <v>#NAME?</v>
      </c>
      <c r="R18" t="e">
        <f ca="1">T_INV(1-R16,P18)</f>
        <v>#NAME?</v>
      </c>
      <c r="U18" s="578" t="e">
        <f ca="1">IF(Q18&lt;R16,"yes","no")</f>
        <v>#NAME?</v>
      </c>
      <c r="V18">
        <f>SQRT(O18^2/(O18^2+P18))</f>
        <v>0.20812683917951183</v>
      </c>
      <c r="X18" t="s">
        <v>1690</v>
      </c>
      <c r="Y18" s="509" t="e">
        <f ca="1">Y14+Y15*NORMSINV(Y12)</f>
        <v>#NAME?</v>
      </c>
      <c r="Z18" s="531" t="e">
        <f ca="1">Y14+Y15*NORMSINV(Y12/2)</f>
        <v>#NAME?</v>
      </c>
      <c r="AD18" t="s">
        <v>87</v>
      </c>
      <c r="AE18">
        <f>COUNT(A5:A15)</f>
        <v>11</v>
      </c>
      <c r="AF18">
        <f>COUNT(B5:B15)</f>
        <v>10</v>
      </c>
      <c r="AH18" t="s">
        <v>75</v>
      </c>
      <c r="AI18" s="273">
        <f>AVERAGE(A5:A15)</f>
        <v>14.272727272727273</v>
      </c>
      <c r="AJ18" s="275">
        <f>AVERAGE(B5:B15)</f>
        <v>11.1</v>
      </c>
      <c r="AP18">
        <f t="shared" si="5"/>
        <v>17</v>
      </c>
      <c r="AQ18" t="e">
        <f ca="1"/>
        <v>#NAME?</v>
      </c>
      <c r="AR18">
        <f t="shared" si="1"/>
        <v>0.74785859476330196</v>
      </c>
      <c r="AS18" t="e">
        <f t="shared" ca="1" si="2"/>
        <v>#NAME?</v>
      </c>
      <c r="AU18">
        <f t="shared" si="6"/>
        <v>17</v>
      </c>
      <c r="AV18" t="e">
        <f ca="1"/>
        <v>#NAME?</v>
      </c>
      <c r="AW18">
        <f t="shared" si="3"/>
        <v>1.0364333894937898</v>
      </c>
      <c r="AX18" t="e">
        <f t="shared" ca="1" si="4"/>
        <v>#NAME?</v>
      </c>
    </row>
    <row r="19" spans="7:50" x14ac:dyDescent="0.25">
      <c r="G19" t="e">
        <f ca="1"/>
        <v>#NAME?</v>
      </c>
      <c r="H19" s="163" t="e">
        <f ca="1"/>
        <v>#NAME?</v>
      </c>
      <c r="M19" t="s">
        <v>186</v>
      </c>
      <c r="N19">
        <f>N18</f>
        <v>4.2582701903207258</v>
      </c>
      <c r="O19">
        <f>O18</f>
        <v>0.74507420406038383</v>
      </c>
      <c r="P19">
        <f>P18</f>
        <v>12.260580518893244</v>
      </c>
      <c r="Q19" t="e">
        <f ca="1">T_DIST_2T(O19,P19)</f>
        <v>#NAME?</v>
      </c>
      <c r="R19" t="e">
        <f ca="1">T_INV_2T(R16,P19)</f>
        <v>#NAME?</v>
      </c>
      <c r="S19" t="e">
        <f ca="1">(O7-O8)-R19*N19</f>
        <v>#NAME?</v>
      </c>
      <c r="T19" t="e">
        <f ca="1">(O7-O8)+R19*N19</f>
        <v>#NAME?</v>
      </c>
      <c r="U19" s="578" t="e">
        <f ca="1">IF(Q19&lt;R16,"yes","no")</f>
        <v>#NAME?</v>
      </c>
      <c r="V19">
        <f>V18</f>
        <v>0.20812683917951183</v>
      </c>
      <c r="X19" t="s">
        <v>182</v>
      </c>
      <c r="Y19" s="238" t="e">
        <f ca="1">1-NORMSDIST(Y16)</f>
        <v>#NAME?</v>
      </c>
      <c r="Z19" s="102" t="e">
        <f ca="1">2*Y19</f>
        <v>#NAME?</v>
      </c>
      <c r="AD19" t="s">
        <v>33</v>
      </c>
      <c r="AE19">
        <f>GEOMEAN(A5:A15)</f>
        <v>9.6949861120576113</v>
      </c>
      <c r="AF19">
        <f>GEOMEAN(B5:B15)</f>
        <v>10.206050030679263</v>
      </c>
      <c r="AP19">
        <f t="shared" si="5"/>
        <v>19</v>
      </c>
      <c r="AQ19" t="e">
        <f ca="1"/>
        <v>#NAME?</v>
      </c>
      <c r="AR19">
        <f t="shared" si="1"/>
        <v>1.096803562093513</v>
      </c>
      <c r="AS19" t="e">
        <f t="shared" ca="1" si="2"/>
        <v>#NAME?</v>
      </c>
      <c r="AU19">
        <f t="shared" si="6"/>
        <v>19</v>
      </c>
      <c r="AV19" t="e">
        <f ca="1"/>
        <v>#NAME?</v>
      </c>
      <c r="AW19">
        <f t="shared" si="3"/>
        <v>1.6448536269514715</v>
      </c>
      <c r="AX19" t="e">
        <f t="shared" ca="1" si="4"/>
        <v>#NAME?</v>
      </c>
    </row>
    <row r="20" spans="7:50" x14ac:dyDescent="0.25">
      <c r="G20" t="e">
        <f ca="1"/>
        <v>#NAME?</v>
      </c>
      <c r="H20" s="155" t="e">
        <f ca="1"/>
        <v>#NAME?</v>
      </c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X20" t="s">
        <v>1691</v>
      </c>
      <c r="Y20" s="579" t="e">
        <f ca="1">IF(Y19&lt;Y12,"yes","no")</f>
        <v>#NAME?</v>
      </c>
      <c r="Z20" s="327" t="e">
        <f ca="1">IF(Z19&lt;Y12,"yes","no")</f>
        <v>#NAME?</v>
      </c>
      <c r="AD20" t="s">
        <v>90</v>
      </c>
      <c r="AE20">
        <f>HARMEAN(A5:A15)</f>
        <v>6.7510959571358997</v>
      </c>
      <c r="AF20">
        <f>HARMEAN(B5:B15)</f>
        <v>9.1850428270846098</v>
      </c>
      <c r="AH20" t="s">
        <v>1432</v>
      </c>
      <c r="AI20" s="528">
        <f>IF(MIN(AI13:AJ13)&gt;=0,0,MIN(AI13:AJ13))</f>
        <v>0</v>
      </c>
      <c r="AP20">
        <f t="shared" si="5"/>
        <v>21</v>
      </c>
      <c r="AQ20" t="e">
        <f ca="1"/>
        <v>#NAME?</v>
      </c>
      <c r="AR20">
        <f t="shared" si="1"/>
        <v>1.6906216295848984</v>
      </c>
      <c r="AS20" t="e">
        <f t="shared" ca="1" si="2"/>
        <v>#NAME?</v>
      </c>
    </row>
    <row r="21" spans="7:50" x14ac:dyDescent="0.25">
      <c r="AD21" t="s">
        <v>91</v>
      </c>
      <c r="AE21">
        <f>AVEDEV(A5:A15)</f>
        <v>10.942148760330577</v>
      </c>
      <c r="AF21">
        <f>AVEDEV(B5:B15)</f>
        <v>3.3</v>
      </c>
    </row>
    <row r="22" spans="7:50" x14ac:dyDescent="0.25">
      <c r="X22" t="s">
        <v>1690</v>
      </c>
      <c r="Y22" s="509" t="e">
        <f ca="1">MCRIT(Y6,Z6,Y12,1)</f>
        <v>#NAME?</v>
      </c>
      <c r="Z22" s="509" t="e">
        <f ca="1">MCRIT(Y6,Z6,Y12,2)</f>
        <v>#NAME?</v>
      </c>
      <c r="AD22" t="s">
        <v>92</v>
      </c>
      <c r="AE22" t="e">
        <f ca="1">MAD(A5:A15)</f>
        <v>#NAME?</v>
      </c>
      <c r="AF22" t="e">
        <f ca="1">MAD(B5:B15)</f>
        <v>#NAME?</v>
      </c>
    </row>
    <row r="23" spans="7:50" x14ac:dyDescent="0.25">
      <c r="X23" t="s">
        <v>1692</v>
      </c>
      <c r="Y23" s="579" t="str">
        <f ca="1">IF(ISNUMBER(Y22),IF(Y13&lt;Y22,"yes","no"),"no")</f>
        <v>no</v>
      </c>
      <c r="Z23" s="579" t="str">
        <f ca="1">IF(ISNUMBER(Z22),IF(Y13&lt;Z22,"yes","no"),"no")</f>
        <v>no</v>
      </c>
      <c r="AD23" s="276" t="s">
        <v>93</v>
      </c>
      <c r="AE23" s="276" t="e">
        <f ca="1">IQR(A5:A15,FALSE)</f>
        <v>#NAME?</v>
      </c>
      <c r="AF23" s="276" t="e">
        <f ca="1">IQR(B5:B15,FALSE)</f>
        <v>#NAME?</v>
      </c>
    </row>
    <row r="25" spans="7:50" x14ac:dyDescent="0.25">
      <c r="X25" t="s">
        <v>182</v>
      </c>
      <c r="Y25" s="509" t="e">
        <f ca="1">MANN_EXACT(A5:A15,B5:B15,1)</f>
        <v>#NAME?</v>
      </c>
      <c r="Z25" s="509" t="e">
        <f ca="1">2*Y25</f>
        <v>#NAME?</v>
      </c>
    </row>
    <row r="26" spans="7:50" x14ac:dyDescent="0.25">
      <c r="X26" t="s">
        <v>1693</v>
      </c>
      <c r="Y26" s="579" t="e">
        <f ca="1">IF(Y25&lt;Y12,"yes","no")</f>
        <v>#NAME?</v>
      </c>
      <c r="Z26" s="579" t="e">
        <f ca="1">IF(Z25&lt;Y12,"yes","no")</f>
        <v>#NAME?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2"/>
  <dimension ref="A1:AZ209"/>
  <sheetViews>
    <sheetView topLeftCell="AF12" workbookViewId="0">
      <selection activeCell="AI29" sqref="AI29"/>
    </sheetView>
  </sheetViews>
  <sheetFormatPr defaultRowHeight="15" x14ac:dyDescent="0.25"/>
  <cols>
    <col min="2" max="2" width="9.140625" customWidth="1"/>
    <col min="18" max="18" width="9.140625" customWidth="1"/>
    <col min="30" max="30" width="12" bestFit="1" customWidth="1"/>
    <col min="36" max="36" width="4.140625" customWidth="1"/>
    <col min="37" max="37" width="62.7109375" customWidth="1"/>
    <col min="41" max="41" width="4.42578125" customWidth="1"/>
    <col min="42" max="42" width="50.28515625" customWidth="1"/>
    <col min="46" max="46" width="3.7109375" customWidth="1"/>
    <col min="47" max="47" width="67.42578125" customWidth="1"/>
    <col min="49" max="49" width="12" bestFit="1" customWidth="1"/>
    <col min="51" max="51" width="4.5703125" customWidth="1"/>
    <col min="52" max="52" width="66.42578125" customWidth="1"/>
  </cols>
  <sheetData>
    <row r="1" spans="1:52" x14ac:dyDescent="0.25">
      <c r="A1" s="1" t="s">
        <v>1129</v>
      </c>
      <c r="Q1" s="1" t="s">
        <v>1129</v>
      </c>
      <c r="AH1" t="s">
        <v>853</v>
      </c>
      <c r="AM1" t="s">
        <v>854</v>
      </c>
      <c r="AR1" t="s">
        <v>859</v>
      </c>
      <c r="AW1" t="s">
        <v>948</v>
      </c>
    </row>
    <row r="2" spans="1:52" x14ac:dyDescent="0.25">
      <c r="A2" s="1"/>
      <c r="Q2" s="1"/>
    </row>
    <row r="3" spans="1:52" x14ac:dyDescent="0.25">
      <c r="A3" s="232" t="s">
        <v>168</v>
      </c>
      <c r="B3">
        <v>10</v>
      </c>
      <c r="Q3" s="75" t="s">
        <v>834</v>
      </c>
      <c r="R3">
        <v>2</v>
      </c>
      <c r="AH3" t="s">
        <v>139</v>
      </c>
      <c r="AI3" s="315">
        <v>0.4</v>
      </c>
      <c r="AJ3" s="8"/>
      <c r="AM3" s="53" t="s">
        <v>1190</v>
      </c>
      <c r="AN3" s="315">
        <v>10</v>
      </c>
      <c r="AR3" t="s">
        <v>139</v>
      </c>
      <c r="AS3" s="315">
        <v>0.4</v>
      </c>
      <c r="AW3" t="s">
        <v>139</v>
      </c>
      <c r="AX3" s="315">
        <v>0.4</v>
      </c>
    </row>
    <row r="4" spans="1:52" x14ac:dyDescent="0.25">
      <c r="A4" s="1"/>
      <c r="Q4" s="1"/>
      <c r="AH4" s="53" t="s">
        <v>140</v>
      </c>
      <c r="AI4" s="163">
        <v>0.05</v>
      </c>
      <c r="AJ4" s="8"/>
      <c r="AM4" s="53" t="s">
        <v>1191</v>
      </c>
      <c r="AN4" s="163">
        <v>15</v>
      </c>
      <c r="AR4" s="53" t="s">
        <v>140</v>
      </c>
      <c r="AS4" s="163">
        <v>0.05</v>
      </c>
      <c r="AW4" s="53" t="s">
        <v>140</v>
      </c>
      <c r="AX4" s="163">
        <v>0.05</v>
      </c>
    </row>
    <row r="5" spans="1:52" x14ac:dyDescent="0.25">
      <c r="A5" s="75" t="s">
        <v>834</v>
      </c>
      <c r="B5">
        <v>0</v>
      </c>
      <c r="C5">
        <v>2</v>
      </c>
      <c r="D5">
        <v>4</v>
      </c>
      <c r="E5">
        <v>6</v>
      </c>
      <c r="Q5" s="75" t="s">
        <v>168</v>
      </c>
      <c r="R5">
        <v>1</v>
      </c>
      <c r="S5">
        <v>3</v>
      </c>
      <c r="T5">
        <v>5</v>
      </c>
      <c r="U5">
        <v>10</v>
      </c>
      <c r="AH5" s="53" t="s">
        <v>105</v>
      </c>
      <c r="AI5" s="163">
        <v>20</v>
      </c>
      <c r="AJ5" s="8"/>
      <c r="AM5" t="s">
        <v>935</v>
      </c>
      <c r="AN5" s="163">
        <v>8</v>
      </c>
      <c r="AR5" s="53" t="s">
        <v>247</v>
      </c>
      <c r="AS5" s="163">
        <v>10</v>
      </c>
      <c r="AW5" s="53" t="s">
        <v>105</v>
      </c>
      <c r="AX5" s="163">
        <v>10</v>
      </c>
    </row>
    <row r="6" spans="1:52" x14ac:dyDescent="0.25">
      <c r="A6" s="75"/>
      <c r="Q6" s="75"/>
      <c r="AH6" s="147" t="s">
        <v>394</v>
      </c>
      <c r="AI6" s="155">
        <v>2</v>
      </c>
      <c r="AJ6" s="8"/>
      <c r="AM6" t="s">
        <v>936</v>
      </c>
      <c r="AN6" s="163">
        <v>3</v>
      </c>
      <c r="AR6" s="147" t="s">
        <v>248</v>
      </c>
      <c r="AS6" s="163">
        <v>20</v>
      </c>
      <c r="AW6" s="147" t="s">
        <v>394</v>
      </c>
      <c r="AX6" s="155">
        <v>2</v>
      </c>
    </row>
    <row r="7" spans="1:52" x14ac:dyDescent="0.25">
      <c r="A7" s="19" t="s">
        <v>177</v>
      </c>
      <c r="B7" s="19" t="s">
        <v>839</v>
      </c>
      <c r="C7" s="19" t="s">
        <v>840</v>
      </c>
      <c r="D7" s="19" t="s">
        <v>841</v>
      </c>
      <c r="E7" s="19" t="s">
        <v>842</v>
      </c>
      <c r="Q7" s="19" t="s">
        <v>177</v>
      </c>
      <c r="R7" s="19" t="s">
        <v>835</v>
      </c>
      <c r="S7" s="19" t="s">
        <v>838</v>
      </c>
      <c r="T7" s="19" t="s">
        <v>836</v>
      </c>
      <c r="U7" s="19" t="s">
        <v>837</v>
      </c>
      <c r="AM7" s="53" t="s">
        <v>817</v>
      </c>
      <c r="AN7" s="163">
        <v>0.6</v>
      </c>
      <c r="AR7" s="147" t="s">
        <v>394</v>
      </c>
      <c r="AS7" s="155">
        <v>2</v>
      </c>
    </row>
    <row r="8" spans="1:52" x14ac:dyDescent="0.25">
      <c r="A8">
        <v>-10</v>
      </c>
      <c r="B8" t="e">
        <f ca="1">NT_DIST($A8,$B$3,B$5,FALSE)</f>
        <v>#NAME?</v>
      </c>
      <c r="C8" t="e">
        <f ca="1">NT_DIST($A8,$B$3,C$5,FALSE)</f>
        <v>#NAME?</v>
      </c>
      <c r="D8" t="e">
        <f ca="1">NT_DIST($A8,$B$3,D$5,FALSE)</f>
        <v>#NAME?</v>
      </c>
      <c r="E8" t="e">
        <f ca="1">NT_DIST($A8,$B$3,E$5,FALSE)</f>
        <v>#NAME?</v>
      </c>
      <c r="Q8">
        <v>-6</v>
      </c>
      <c r="R8" t="e">
        <f ca="1">NT_DIST($Q8,R$5,$R$3,FALSE)</f>
        <v>#NAME?</v>
      </c>
      <c r="S8" t="e">
        <f ca="1">NT_DIST($Q8,S$5,$R$3,FALSE)</f>
        <v>#NAME?</v>
      </c>
      <c r="T8" t="e">
        <f ca="1">NT_DIST($Q8,T$5,$R$3,FALSE)</f>
        <v>#NAME?</v>
      </c>
      <c r="U8" t="e">
        <f ca="1">NT_DIST($Q8,U$5,$R$3,FALSE)</f>
        <v>#NAME?</v>
      </c>
      <c r="AH8" s="53" t="s">
        <v>834</v>
      </c>
      <c r="AI8" s="315">
        <f>AI3*SQRT(AI5)</f>
        <v>1.7888543819998319</v>
      </c>
      <c r="AJ8" s="8"/>
      <c r="AK8" s="22" t="s">
        <v>849</v>
      </c>
      <c r="AM8" s="53" t="s">
        <v>105</v>
      </c>
      <c r="AN8" s="163">
        <v>20</v>
      </c>
      <c r="AW8" s="53" t="s">
        <v>834</v>
      </c>
      <c r="AX8" s="315">
        <f>AX3*SQRT(AX5/2)</f>
        <v>0.89442719099991597</v>
      </c>
      <c r="AZ8" s="22" t="s">
        <v>860</v>
      </c>
    </row>
    <row r="9" spans="1:52" x14ac:dyDescent="0.25">
      <c r="A9">
        <f>A8+0.1</f>
        <v>-9.9</v>
      </c>
      <c r="B9" t="e">
        <f ca="1">NT_DIST($A9,$B$3,B$5,FALSE)</f>
        <v>#NAME?</v>
      </c>
      <c r="C9" t="e">
        <f ca="1">NT_DIST($A9,$B$3,C$5,FALSE)</f>
        <v>#NAME?</v>
      </c>
      <c r="D9" t="e">
        <f ca="1">NT_DIST($A9,$B$3,D$5,FALSE)</f>
        <v>#NAME?</v>
      </c>
      <c r="E9" t="e">
        <f ca="1">NT_DIST($A9,$B$3,E$5,FALSE)</f>
        <v>#NAME?</v>
      </c>
      <c r="Q9">
        <f>Q8+0.1</f>
        <v>-5.9</v>
      </c>
      <c r="R9" t="e">
        <f ca="1">NT_DIST($Q9,R$5,$R$3,FALSE)</f>
        <v>#NAME?</v>
      </c>
      <c r="S9" t="e">
        <f ca="1">NT_DIST($Q9,S$5,$R$3,FALSE)</f>
        <v>#NAME?</v>
      </c>
      <c r="T9" t="e">
        <f ca="1">NT_DIST($Q9,T$5,$R$3,FALSE)</f>
        <v>#NAME?</v>
      </c>
      <c r="U9" t="e">
        <f ca="1">NT_DIST($Q9,U$5,$R$3,FALSE)</f>
        <v>#NAME?</v>
      </c>
      <c r="AH9" s="147" t="s">
        <v>168</v>
      </c>
      <c r="AI9" s="163">
        <f>AI5-1</f>
        <v>19</v>
      </c>
      <c r="AJ9" s="8"/>
      <c r="AK9" s="22" t="s">
        <v>850</v>
      </c>
      <c r="AM9" s="53" t="s">
        <v>140</v>
      </c>
      <c r="AN9" s="163">
        <v>0.05</v>
      </c>
      <c r="AR9" s="53" t="s">
        <v>834</v>
      </c>
      <c r="AS9" s="315">
        <f>AS3*SQRT(HARMEAN(AS5,AS6)/2)</f>
        <v>1.0327955589886446</v>
      </c>
      <c r="AU9" s="22" t="s">
        <v>855</v>
      </c>
      <c r="AW9" s="147" t="s">
        <v>168</v>
      </c>
      <c r="AX9" s="163">
        <f>AX5*2-2</f>
        <v>18</v>
      </c>
      <c r="AZ9" s="22" t="s">
        <v>861</v>
      </c>
    </row>
    <row r="10" spans="1:52" x14ac:dyDescent="0.25">
      <c r="A10">
        <f t="shared" ref="A10:A73" si="0">A9+0.1</f>
        <v>-9.8000000000000007</v>
      </c>
      <c r="B10" t="e">
        <f ca="1">NT_DIST($A10,$B$3,B$5,FALSE)</f>
        <v>#NAME?</v>
      </c>
      <c r="C10" t="e">
        <f ca="1">NT_DIST($A10,$B$3,C$5,FALSE)</f>
        <v>#NAME?</v>
      </c>
      <c r="D10" t="e">
        <f ca="1">NT_DIST($A10,$B$3,D$5,FALSE)</f>
        <v>#NAME?</v>
      </c>
      <c r="E10" t="e">
        <f ca="1">NT_DIST($A10,$B$3,E$5,FALSE)</f>
        <v>#NAME?</v>
      </c>
      <c r="Q10">
        <f t="shared" ref="Q10:Q73" si="1">Q9+0.1</f>
        <v>-5.8000000000000007</v>
      </c>
      <c r="R10" t="e">
        <f ca="1">NT_DIST($Q10,R$5,$R$3,FALSE)</f>
        <v>#NAME?</v>
      </c>
      <c r="S10" t="e">
        <f ca="1">NT_DIST($Q10,S$5,$R$3,FALSE)</f>
        <v>#NAME?</v>
      </c>
      <c r="T10" t="e">
        <f ca="1">NT_DIST($Q10,T$5,$R$3,FALSE)</f>
        <v>#NAME?</v>
      </c>
      <c r="U10" t="e">
        <f ca="1">NT_DIST($Q10,U$5,$R$3,FALSE)</f>
        <v>#NAME?</v>
      </c>
      <c r="AH10" s="147" t="s">
        <v>183</v>
      </c>
      <c r="AI10" s="163">
        <f>IF(AI6=1,TINV(AI4*2,AI9),TINV(AI4,AI9))</f>
        <v>2.0930240544083096</v>
      </c>
      <c r="AJ10" s="8"/>
      <c r="AK10" s="22" t="s">
        <v>1127</v>
      </c>
      <c r="AM10" s="147" t="s">
        <v>394</v>
      </c>
      <c r="AN10" s="155">
        <v>2</v>
      </c>
      <c r="AR10" s="147" t="s">
        <v>168</v>
      </c>
      <c r="AS10" s="163">
        <f>AS5+AS6-2</f>
        <v>28</v>
      </c>
      <c r="AU10" s="22" t="s">
        <v>856</v>
      </c>
      <c r="AW10" s="147" t="s">
        <v>183</v>
      </c>
      <c r="AX10" s="163">
        <f>IF(AX6=1,TINV(AX4*2,AX9),TINV(AX4,AX9))</f>
        <v>2.1009220402410378</v>
      </c>
      <c r="AZ10" s="22" t="s">
        <v>1133</v>
      </c>
    </row>
    <row r="11" spans="1:52" x14ac:dyDescent="0.25">
      <c r="A11">
        <f t="shared" si="0"/>
        <v>-9.7000000000000011</v>
      </c>
      <c r="B11" t="e">
        <f ca="1">NT_DIST($A11,$B$3,B$5,FALSE)</f>
        <v>#NAME?</v>
      </c>
      <c r="C11" t="e">
        <f ca="1">NT_DIST($A11,$B$3,C$5,FALSE)</f>
        <v>#NAME?</v>
      </c>
      <c r="D11" t="e">
        <f ca="1">NT_DIST($A11,$B$3,D$5,FALSE)</f>
        <v>#NAME?</v>
      </c>
      <c r="E11" t="e">
        <f ca="1">NT_DIST($A11,$B$3,E$5,FALSE)</f>
        <v>#NAME?</v>
      </c>
      <c r="Q11">
        <f t="shared" si="1"/>
        <v>-5.7000000000000011</v>
      </c>
      <c r="R11" t="e">
        <f ca="1">NT_DIST($Q11,R$5,$R$3,FALSE)</f>
        <v>#NAME?</v>
      </c>
      <c r="S11" t="e">
        <f ca="1">NT_DIST($Q11,S$5,$R$3,FALSE)</f>
        <v>#NAME?</v>
      </c>
      <c r="T11" t="e">
        <f ca="1">NT_DIST($Q11,T$5,$R$3,FALSE)</f>
        <v>#NAME?</v>
      </c>
      <c r="U11" t="e">
        <f ca="1">NT_DIST($Q11,U$5,$R$3,FALSE)</f>
        <v>#NAME?</v>
      </c>
      <c r="AH11" s="147" t="s">
        <v>528</v>
      </c>
      <c r="AI11" s="163" t="e">
        <f ca="1">NT_DIST(AI10,AI9,AI8,TRUE)-IF(AI6=1,0,NT_DIST(-AI10,AI9,AI8,TRUE))</f>
        <v>#NAME?</v>
      </c>
      <c r="AJ11" s="8"/>
      <c r="AK11" s="22" t="s">
        <v>1128</v>
      </c>
      <c r="AR11" s="147" t="s">
        <v>183</v>
      </c>
      <c r="AS11" s="163">
        <f>IF(AS7=1,TINV(AS4*2,AS10),TINV(AS4,AS10))</f>
        <v>2.0484071417952445</v>
      </c>
      <c r="AU11" s="22" t="s">
        <v>1130</v>
      </c>
      <c r="AW11" s="147" t="s">
        <v>528</v>
      </c>
      <c r="AX11" s="163" t="e">
        <f ca="1">NT_DIST(AX10,AX9,AX8,TRUE)-IF(AX6=1,0,NT_DIST(-AX10,AX9,AX8,TRUE))</f>
        <v>#NAME?</v>
      </c>
      <c r="AZ11" s="22" t="s">
        <v>1132</v>
      </c>
    </row>
    <row r="12" spans="1:52" x14ac:dyDescent="0.25">
      <c r="A12">
        <f t="shared" si="0"/>
        <v>-9.6000000000000014</v>
      </c>
      <c r="B12" t="e">
        <f ca="1">NT_DIST($A12,$B$3,B$5,FALSE)</f>
        <v>#NAME?</v>
      </c>
      <c r="C12" t="e">
        <f ca="1">NT_DIST($A12,$B$3,C$5,FALSE)</f>
        <v>#NAME?</v>
      </c>
      <c r="D12" t="e">
        <f ca="1">NT_DIST($A12,$B$3,D$5,FALSE)</f>
        <v>#NAME?</v>
      </c>
      <c r="E12" t="e">
        <f ca="1">NT_DIST($A12,$B$3,E$5,FALSE)</f>
        <v>#NAME?</v>
      </c>
      <c r="Q12">
        <f t="shared" si="1"/>
        <v>-5.6000000000000014</v>
      </c>
      <c r="R12" t="e">
        <f ca="1">NT_DIST($Q12,R$5,$R$3,FALSE)</f>
        <v>#NAME?</v>
      </c>
      <c r="S12" t="e">
        <f ca="1">NT_DIST($Q12,S$5,$R$3,FALSE)</f>
        <v>#NAME?</v>
      </c>
      <c r="T12" t="e">
        <f ca="1">NT_DIST($Q12,T$5,$R$3,FALSE)</f>
        <v>#NAME?</v>
      </c>
      <c r="U12" t="e">
        <f ca="1">NT_DIST($Q12,U$5,$R$3,FALSE)</f>
        <v>#NAME?</v>
      </c>
      <c r="AH12" s="147" t="s">
        <v>843</v>
      </c>
      <c r="AI12" s="155" t="e">
        <f ca="1">1-AI11</f>
        <v>#NAME?</v>
      </c>
      <c r="AJ12" s="8"/>
      <c r="AK12" s="22" t="s">
        <v>851</v>
      </c>
      <c r="AM12" s="53" t="s">
        <v>139</v>
      </c>
      <c r="AN12" s="315">
        <f>ABS(AN3-AN4)/SQRT(AN5^2+AN6^2-2*AN5*AN6*AN7)</f>
        <v>0.75207104699523353</v>
      </c>
      <c r="AP12" s="22" t="e">
        <f ca="1">FTEXT(AN12)</f>
        <v>#NAME?</v>
      </c>
      <c r="AR12" s="147" t="s">
        <v>528</v>
      </c>
      <c r="AS12" s="163" t="e">
        <f ca="1">NT_DIST(AS11,AS10,AS9,TRUE)-IF(AS7=1,0,NT_DIST(-AS11,AS10,AS9,TRUE))</f>
        <v>#NAME?</v>
      </c>
      <c r="AU12" s="22" t="s">
        <v>1131</v>
      </c>
      <c r="AW12" s="147" t="s">
        <v>843</v>
      </c>
      <c r="AX12" s="155" t="e">
        <f ca="1">1-AX11</f>
        <v>#NAME?</v>
      </c>
      <c r="AZ12" s="22" t="s">
        <v>862</v>
      </c>
    </row>
    <row r="13" spans="1:52" x14ac:dyDescent="0.25">
      <c r="A13">
        <f t="shared" si="0"/>
        <v>-9.5000000000000018</v>
      </c>
      <c r="B13" t="e">
        <f ca="1">NT_DIST($A13,$B$3,B$5,FALSE)</f>
        <v>#NAME?</v>
      </c>
      <c r="C13" t="e">
        <f ca="1">NT_DIST($A13,$B$3,C$5,FALSE)</f>
        <v>#NAME?</v>
      </c>
      <c r="D13" t="e">
        <f ca="1">NT_DIST($A13,$B$3,D$5,FALSE)</f>
        <v>#NAME?</v>
      </c>
      <c r="E13" t="e">
        <f ca="1">NT_DIST($A13,$B$3,E$5,FALSE)</f>
        <v>#NAME?</v>
      </c>
      <c r="Q13">
        <f t="shared" si="1"/>
        <v>-5.5000000000000018</v>
      </c>
      <c r="R13" t="e">
        <f ca="1">NT_DIST($Q13,R$5,$R$3,FALSE)</f>
        <v>#NAME?</v>
      </c>
      <c r="S13" t="e">
        <f ca="1">NT_DIST($Q13,S$5,$R$3,FALSE)</f>
        <v>#NAME?</v>
      </c>
      <c r="T13" t="e">
        <f ca="1">NT_DIST($Q13,T$5,$R$3,FALSE)</f>
        <v>#NAME?</v>
      </c>
      <c r="U13" t="e">
        <f ca="1">NT_DIST($Q13,U$5,$R$3,FALSE)</f>
        <v>#NAME?</v>
      </c>
      <c r="AM13" s="147" t="s">
        <v>843</v>
      </c>
      <c r="AN13" s="155" t="e">
        <f ca="1">T1_POWER(AN12,AN8,AN10,AN9)</f>
        <v>#NAME?</v>
      </c>
      <c r="AP13" s="22" t="e">
        <f ca="1">FTEXT(AN13)</f>
        <v>#NAME?</v>
      </c>
      <c r="AR13" s="147" t="s">
        <v>843</v>
      </c>
      <c r="AS13" s="155" t="e">
        <f ca="1">1-AS12</f>
        <v>#NAME?</v>
      </c>
      <c r="AU13" s="22" t="s">
        <v>857</v>
      </c>
    </row>
    <row r="14" spans="1:52" x14ac:dyDescent="0.25">
      <c r="A14">
        <f t="shared" si="0"/>
        <v>-9.4000000000000021</v>
      </c>
      <c r="B14" t="e">
        <f ca="1">NT_DIST($A14,$B$3,B$5,FALSE)</f>
        <v>#NAME?</v>
      </c>
      <c r="C14" t="e">
        <f ca="1">NT_DIST($A14,$B$3,C$5,FALSE)</f>
        <v>#NAME?</v>
      </c>
      <c r="D14" t="e">
        <f ca="1">NT_DIST($A14,$B$3,D$5,FALSE)</f>
        <v>#NAME?</v>
      </c>
      <c r="E14" t="e">
        <f ca="1">NT_DIST($A14,$B$3,E$5,FALSE)</f>
        <v>#NAME?</v>
      </c>
      <c r="Q14">
        <f t="shared" si="1"/>
        <v>-5.4000000000000021</v>
      </c>
      <c r="R14" t="e">
        <f ca="1">NT_DIST($Q14,R$5,$R$3,FALSE)</f>
        <v>#NAME?</v>
      </c>
      <c r="S14" t="e">
        <f ca="1">NT_DIST($Q14,S$5,$R$3,FALSE)</f>
        <v>#NAME?</v>
      </c>
      <c r="T14" t="e">
        <f ca="1">NT_DIST($Q14,T$5,$R$3,FALSE)</f>
        <v>#NAME?</v>
      </c>
      <c r="U14" t="e">
        <f ca="1">NT_DIST($Q14,U$5,$R$3,FALSE)</f>
        <v>#NAME?</v>
      </c>
      <c r="AH14" t="s">
        <v>848</v>
      </c>
      <c r="AI14" s="205" t="e">
        <f ca="1">T1_POWER(AI3,AI5,AI6,AI4)</f>
        <v>#NAME?</v>
      </c>
      <c r="AJ14" s="8"/>
      <c r="AK14" s="22" t="s">
        <v>852</v>
      </c>
      <c r="AP14" s="22"/>
      <c r="AW14" t="s">
        <v>848</v>
      </c>
      <c r="AX14" s="315" t="e">
        <f ca="1">T2_POWER(AX3,AX5)</f>
        <v>#NAME?</v>
      </c>
      <c r="AZ14" s="22" t="s">
        <v>863</v>
      </c>
    </row>
    <row r="15" spans="1:52" x14ac:dyDescent="0.25">
      <c r="A15">
        <f t="shared" si="0"/>
        <v>-9.3000000000000025</v>
      </c>
      <c r="B15" t="e">
        <f ca="1">NT_DIST($A15,$B$3,B$5,FALSE)</f>
        <v>#NAME?</v>
      </c>
      <c r="C15" t="e">
        <f ca="1">NT_DIST($A15,$B$3,C$5,FALSE)</f>
        <v>#NAME?</v>
      </c>
      <c r="D15" t="e">
        <f ca="1">NT_DIST($A15,$B$3,D$5,FALSE)</f>
        <v>#NAME?</v>
      </c>
      <c r="E15" t="e">
        <f ca="1">NT_DIST($A15,$B$3,E$5,FALSE)</f>
        <v>#NAME?</v>
      </c>
      <c r="Q15">
        <f t="shared" si="1"/>
        <v>-5.3000000000000025</v>
      </c>
      <c r="R15" t="e">
        <f ca="1">NT_DIST($Q15,R$5,$R$3,FALSE)</f>
        <v>#NAME?</v>
      </c>
      <c r="S15" t="e">
        <f ca="1">NT_DIST($Q15,S$5,$R$3,FALSE)</f>
        <v>#NAME?</v>
      </c>
      <c r="T15" t="e">
        <f ca="1">NT_DIST($Q15,T$5,$R$3,FALSE)</f>
        <v>#NAME?</v>
      </c>
      <c r="U15" t="e">
        <f ca="1">NT_DIST($Q15,U$5,$R$3,FALSE)</f>
        <v>#NAME?</v>
      </c>
      <c r="AM15" t="s">
        <v>1640</v>
      </c>
      <c r="AN15" s="205" t="e">
        <f ca="1">Effect_Paired(AN3,AN4,AN5,AN6,AN7)</f>
        <v>#NAME?</v>
      </c>
      <c r="AP15" s="22" t="e">
        <f ca="1">FTEXT(AN15)</f>
        <v>#NAME?</v>
      </c>
      <c r="AR15" t="s">
        <v>848</v>
      </c>
      <c r="AS15" s="205" t="e">
        <f ca="1">T2_POWER(AS3,AS5,AS6,AS7,AS4)</f>
        <v>#NAME?</v>
      </c>
      <c r="AU15" s="22" t="s">
        <v>858</v>
      </c>
      <c r="AX15" s="163" t="e">
        <f ca="1">T2_POWER(AX3,ROUNDUP(AX5,0))</f>
        <v>#NAME?</v>
      </c>
      <c r="AZ15" s="294" t="s">
        <v>906</v>
      </c>
    </row>
    <row r="16" spans="1:52" x14ac:dyDescent="0.25">
      <c r="A16">
        <f t="shared" si="0"/>
        <v>-9.2000000000000028</v>
      </c>
      <c r="B16" t="e">
        <f ca="1">NT_DIST($A16,$B$3,B$5,FALSE)</f>
        <v>#NAME?</v>
      </c>
      <c r="C16" t="e">
        <f ca="1">NT_DIST($A16,$B$3,C$5,FALSE)</f>
        <v>#NAME?</v>
      </c>
      <c r="D16" t="e">
        <f ca="1">NT_DIST($A16,$B$3,D$5,FALSE)</f>
        <v>#NAME?</v>
      </c>
      <c r="E16" t="e">
        <f ca="1">NT_DIST($A16,$B$3,E$5,FALSE)</f>
        <v>#NAME?</v>
      </c>
      <c r="Q16">
        <f t="shared" si="1"/>
        <v>-5.2000000000000028</v>
      </c>
      <c r="R16" t="e">
        <f ca="1">NT_DIST($Q16,R$5,$R$3,FALSE)</f>
        <v>#NAME?</v>
      </c>
      <c r="S16" t="e">
        <f ca="1">NT_DIST($Q16,S$5,$R$3,FALSE)</f>
        <v>#NAME?</v>
      </c>
      <c r="T16" t="e">
        <f ca="1">NT_DIST($Q16,T$5,$R$3,FALSE)</f>
        <v>#NAME?</v>
      </c>
      <c r="U16" t="e">
        <f ca="1">NT_DIST($Q16,U$5,$R$3,FALSE)</f>
        <v>#NAME?</v>
      </c>
      <c r="AX16" s="155" t="e">
        <f ca="1">T2_POWER(AX3,100)</f>
        <v>#NAME?</v>
      </c>
      <c r="AZ16" s="22" t="s">
        <v>864</v>
      </c>
    </row>
    <row r="17" spans="1:52" x14ac:dyDescent="0.25">
      <c r="A17">
        <f t="shared" si="0"/>
        <v>-9.1000000000000032</v>
      </c>
      <c r="B17" t="e">
        <f ca="1">NT_DIST($A17,$B$3,B$5,FALSE)</f>
        <v>#NAME?</v>
      </c>
      <c r="C17" t="e">
        <f ca="1">NT_DIST($A17,$B$3,C$5,FALSE)</f>
        <v>#NAME?</v>
      </c>
      <c r="D17" t="e">
        <f ca="1">NT_DIST($A17,$B$3,D$5,FALSE)</f>
        <v>#NAME?</v>
      </c>
      <c r="E17" t="e">
        <f ca="1">NT_DIST($A17,$B$3,E$5,FALSE)</f>
        <v>#NAME?</v>
      </c>
      <c r="Q17">
        <f t="shared" si="1"/>
        <v>-5.1000000000000032</v>
      </c>
      <c r="R17" t="e">
        <f ca="1">NT_DIST($Q17,R$5,$R$3,FALSE)</f>
        <v>#NAME?</v>
      </c>
      <c r="S17" t="e">
        <f ca="1">NT_DIST($Q17,S$5,$R$3,FALSE)</f>
        <v>#NAME?</v>
      </c>
      <c r="T17" t="e">
        <f ca="1">NT_DIST($Q17,T$5,$R$3,FALSE)</f>
        <v>#NAME?</v>
      </c>
      <c r="U17" t="e">
        <f ca="1">NT_DIST($Q17,U$5,$R$3,FALSE)</f>
        <v>#NAME?</v>
      </c>
    </row>
    <row r="18" spans="1:52" x14ac:dyDescent="0.25">
      <c r="A18">
        <f t="shared" si="0"/>
        <v>-9.0000000000000036</v>
      </c>
      <c r="B18" t="e">
        <f ca="1">NT_DIST($A18,$B$3,B$5,FALSE)</f>
        <v>#NAME?</v>
      </c>
      <c r="C18" t="e">
        <f ca="1">NT_DIST($A18,$B$3,C$5,FALSE)</f>
        <v>#NAME?</v>
      </c>
      <c r="D18" t="e">
        <f ca="1">NT_DIST($A18,$B$3,D$5,FALSE)</f>
        <v>#NAME?</v>
      </c>
      <c r="E18" t="e">
        <f ca="1">NT_DIST($A18,$B$3,E$5,FALSE)</f>
        <v>#NAME?</v>
      </c>
      <c r="Q18">
        <f t="shared" si="1"/>
        <v>-5.0000000000000036</v>
      </c>
      <c r="R18" t="e">
        <f ca="1">NT_DIST($Q18,R$5,$R$3,FALSE)</f>
        <v>#NAME?</v>
      </c>
      <c r="S18" t="e">
        <f ca="1">NT_DIST($Q18,S$5,$R$3,FALSE)</f>
        <v>#NAME?</v>
      </c>
      <c r="T18" t="e">
        <f ca="1">NT_DIST($Q18,T$5,$R$3,FALSE)</f>
        <v>#NAME?</v>
      </c>
      <c r="U18" t="e">
        <f ca="1">NT_DIST($Q18,U$5,$R$3,FALSE)</f>
        <v>#NAME?</v>
      </c>
      <c r="AH18" t="s">
        <v>1212</v>
      </c>
      <c r="AO18" s="8"/>
      <c r="AP18" s="8"/>
      <c r="AW18" s="147" t="s">
        <v>843</v>
      </c>
      <c r="AX18" s="315">
        <v>0.8</v>
      </c>
    </row>
    <row r="19" spans="1:52" x14ac:dyDescent="0.25">
      <c r="A19">
        <f t="shared" si="0"/>
        <v>-8.9000000000000039</v>
      </c>
      <c r="B19" t="e">
        <f ca="1">NT_DIST($A19,$B$3,B$5,FALSE)</f>
        <v>#NAME?</v>
      </c>
      <c r="C19" t="e">
        <f ca="1">NT_DIST($A19,$B$3,C$5,FALSE)</f>
        <v>#NAME?</v>
      </c>
      <c r="D19" t="e">
        <f ca="1">NT_DIST($A19,$B$3,D$5,FALSE)</f>
        <v>#NAME?</v>
      </c>
      <c r="E19" t="e">
        <f ca="1">NT_DIST($A19,$B$3,E$5,FALSE)</f>
        <v>#NAME?</v>
      </c>
      <c r="Q19">
        <f t="shared" si="1"/>
        <v>-4.9000000000000039</v>
      </c>
      <c r="R19" t="e">
        <f ca="1">NT_DIST($Q19,R$5,$R$3,FALSE)</f>
        <v>#NAME?</v>
      </c>
      <c r="S19" t="e">
        <f ca="1">NT_DIST($Q19,S$5,$R$3,FALSE)</f>
        <v>#NAME?</v>
      </c>
      <c r="T19" t="e">
        <f ca="1">NT_DIST($Q19,T$5,$R$3,FALSE)</f>
        <v>#NAME?</v>
      </c>
      <c r="U19" t="e">
        <f ca="1">NT_DIST($Q19,U$5,$R$3,FALSE)</f>
        <v>#NAME?</v>
      </c>
      <c r="AO19" s="8"/>
      <c r="AP19" s="8"/>
      <c r="AX19" s="155" t="e">
        <f ca="1">T2_SIZE(AX3,AX18)</f>
        <v>#NAME?</v>
      </c>
      <c r="AZ19" s="22" t="s">
        <v>865</v>
      </c>
    </row>
    <row r="20" spans="1:52" x14ac:dyDescent="0.25">
      <c r="A20">
        <f t="shared" si="0"/>
        <v>-8.8000000000000043</v>
      </c>
      <c r="B20" t="e">
        <f ca="1">NT_DIST($A20,$B$3,B$5,FALSE)</f>
        <v>#NAME?</v>
      </c>
      <c r="C20" t="e">
        <f ca="1">NT_DIST($A20,$B$3,C$5,FALSE)</f>
        <v>#NAME?</v>
      </c>
      <c r="D20" t="e">
        <f ca="1">NT_DIST($A20,$B$3,D$5,FALSE)</f>
        <v>#NAME?</v>
      </c>
      <c r="E20" t="e">
        <f ca="1">NT_DIST($A20,$B$3,E$5,FALSE)</f>
        <v>#NAME?</v>
      </c>
      <c r="Q20">
        <f t="shared" si="1"/>
        <v>-4.8000000000000043</v>
      </c>
      <c r="R20" t="e">
        <f ca="1">NT_DIST($Q20,R$5,$R$3,FALSE)</f>
        <v>#NAME?</v>
      </c>
      <c r="S20" t="e">
        <f ca="1">NT_DIST($Q20,S$5,$R$3,FALSE)</f>
        <v>#NAME?</v>
      </c>
      <c r="T20" t="e">
        <f ca="1">NT_DIST($Q20,T$5,$R$3,FALSE)</f>
        <v>#NAME?</v>
      </c>
      <c r="U20" t="e">
        <f ca="1">NT_DIST($Q20,U$5,$R$3,FALSE)</f>
        <v>#NAME?</v>
      </c>
      <c r="AH20" s="53" t="s">
        <v>140</v>
      </c>
      <c r="AI20" s="439">
        <v>0.01</v>
      </c>
      <c r="AO20" s="8"/>
      <c r="AP20" s="8"/>
    </row>
    <row r="21" spans="1:52" x14ac:dyDescent="0.25">
      <c r="A21">
        <f t="shared" si="0"/>
        <v>-8.7000000000000046</v>
      </c>
      <c r="B21" t="e">
        <f ca="1">NT_DIST($A21,$B$3,B$5,FALSE)</f>
        <v>#NAME?</v>
      </c>
      <c r="C21" t="e">
        <f ca="1">NT_DIST($A21,$B$3,C$5,FALSE)</f>
        <v>#NAME?</v>
      </c>
      <c r="D21" t="e">
        <f ca="1">NT_DIST($A21,$B$3,D$5,FALSE)</f>
        <v>#NAME?</v>
      </c>
      <c r="E21" t="e">
        <f ca="1">NT_DIST($A21,$B$3,E$5,FALSE)</f>
        <v>#NAME?</v>
      </c>
      <c r="Q21">
        <f t="shared" si="1"/>
        <v>-4.7000000000000046</v>
      </c>
      <c r="R21" t="e">
        <f ca="1">NT_DIST($Q21,R$5,$R$3,FALSE)</f>
        <v>#NAME?</v>
      </c>
      <c r="S21" t="e">
        <f ca="1">NT_DIST($Q21,S$5,$R$3,FALSE)</f>
        <v>#NAME?</v>
      </c>
      <c r="T21" t="e">
        <f ca="1">NT_DIST($Q21,T$5,$R$3,FALSE)</f>
        <v>#NAME?</v>
      </c>
      <c r="U21" t="e">
        <f ca="1">NT_DIST($Q21,U$5,$R$3,FALSE)</f>
        <v>#NAME?</v>
      </c>
      <c r="AH21" t="s">
        <v>168</v>
      </c>
      <c r="AI21" s="163">
        <v>25</v>
      </c>
      <c r="AO21" s="8"/>
      <c r="AP21" s="8"/>
    </row>
    <row r="22" spans="1:52" x14ac:dyDescent="0.25">
      <c r="A22">
        <f t="shared" si="0"/>
        <v>-8.600000000000005</v>
      </c>
      <c r="B22" t="e">
        <f ca="1">NT_DIST($A22,$B$3,B$5,FALSE)</f>
        <v>#NAME?</v>
      </c>
      <c r="C22" t="e">
        <f ca="1">NT_DIST($A22,$B$3,C$5,FALSE)</f>
        <v>#NAME?</v>
      </c>
      <c r="D22" t="e">
        <f ca="1">NT_DIST($A22,$B$3,D$5,FALSE)</f>
        <v>#NAME?</v>
      </c>
      <c r="E22" t="e">
        <f ca="1">NT_DIST($A22,$B$3,E$5,FALSE)</f>
        <v>#NAME?</v>
      </c>
      <c r="Q22">
        <f t="shared" si="1"/>
        <v>-4.600000000000005</v>
      </c>
      <c r="R22" t="e">
        <f ca="1">NT_DIST($Q22,R$5,$R$3,FALSE)</f>
        <v>#NAME?</v>
      </c>
      <c r="S22" t="e">
        <f ca="1">NT_DIST($Q22,S$5,$R$3,FALSE)</f>
        <v>#NAME?</v>
      </c>
      <c r="T22" t="e">
        <f ca="1">NT_DIST($Q22,T$5,$R$3,FALSE)</f>
        <v>#NAME?</v>
      </c>
      <c r="U22" t="e">
        <f ca="1">NT_DIST($Q22,U$5,$R$3,FALSE)</f>
        <v>#NAME?</v>
      </c>
      <c r="AH22" t="s">
        <v>1210</v>
      </c>
      <c r="AI22" s="163">
        <v>8</v>
      </c>
      <c r="AO22" s="8"/>
      <c r="AP22" s="8"/>
      <c r="AX22" s="315" t="e">
        <f ca="1">T2_SIZE(AX3,AX18,1)</f>
        <v>#NAME?</v>
      </c>
      <c r="AZ22" s="22" t="s">
        <v>866</v>
      </c>
    </row>
    <row r="23" spans="1:52" x14ac:dyDescent="0.25">
      <c r="A23">
        <f t="shared" si="0"/>
        <v>-8.5000000000000053</v>
      </c>
      <c r="B23" t="e">
        <f ca="1">NT_DIST($A23,$B$3,B$5,FALSE)</f>
        <v>#NAME?</v>
      </c>
      <c r="C23" t="e">
        <f ca="1">NT_DIST($A23,$B$3,C$5,FALSE)</f>
        <v>#NAME?</v>
      </c>
      <c r="D23" t="e">
        <f ca="1">NT_DIST($A23,$B$3,D$5,FALSE)</f>
        <v>#NAME?</v>
      </c>
      <c r="E23" t="e">
        <f ca="1">NT_DIST($A23,$B$3,E$5,FALSE)</f>
        <v>#NAME?</v>
      </c>
      <c r="Q23">
        <f t="shared" si="1"/>
        <v>-4.5000000000000053</v>
      </c>
      <c r="R23" t="e">
        <f ca="1">NT_DIST($Q23,R$5,$R$3,FALSE)</f>
        <v>#NAME?</v>
      </c>
      <c r="S23" t="e">
        <f ca="1">NT_DIST($Q23,S$5,$R$3,FALSE)</f>
        <v>#NAME?</v>
      </c>
      <c r="T23" t="e">
        <f ca="1">NT_DIST($Q23,T$5,$R$3,FALSE)</f>
        <v>#NAME?</v>
      </c>
      <c r="U23" t="e">
        <f ca="1">NT_DIST($Q23,U$5,$R$3,FALSE)</f>
        <v>#NAME?</v>
      </c>
      <c r="AH23" t="s">
        <v>177</v>
      </c>
      <c r="AI23" s="163" t="e">
        <f ca="1">NT_INV(AI20,AI21,AI22)</f>
        <v>#NAME?</v>
      </c>
      <c r="AK23" t="e">
        <f ca="1">FTEXT(AI23)</f>
        <v>#NAME?</v>
      </c>
      <c r="AX23" s="163" t="e">
        <f ca="1">T2_SIZE(AX3,AX18,2,0.025)</f>
        <v>#NAME?</v>
      </c>
      <c r="AZ23" s="22" t="s">
        <v>867</v>
      </c>
    </row>
    <row r="24" spans="1:52" x14ac:dyDescent="0.25">
      <c r="A24">
        <f t="shared" si="0"/>
        <v>-8.4000000000000057</v>
      </c>
      <c r="B24" t="e">
        <f ca="1">NT_DIST($A24,$B$3,B$5,FALSE)</f>
        <v>#NAME?</v>
      </c>
      <c r="C24" t="e">
        <f ca="1">NT_DIST($A24,$B$3,C$5,FALSE)</f>
        <v>#NAME?</v>
      </c>
      <c r="D24" t="e">
        <f ca="1">NT_DIST($A24,$B$3,D$5,FALSE)</f>
        <v>#NAME?</v>
      </c>
      <c r="E24" t="e">
        <f ca="1">NT_DIST($A24,$B$3,E$5,FALSE)</f>
        <v>#NAME?</v>
      </c>
      <c r="H24" t="s">
        <v>177</v>
      </c>
      <c r="I24" s="315">
        <v>4.5</v>
      </c>
      <c r="Q24">
        <f t="shared" si="1"/>
        <v>-4.4000000000000057</v>
      </c>
      <c r="R24" t="e">
        <f ca="1">NT_DIST($Q24,R$5,$R$3,FALSE)</f>
        <v>#NAME?</v>
      </c>
      <c r="S24" t="e">
        <f ca="1">NT_DIST($Q24,S$5,$R$3,FALSE)</f>
        <v>#NAME?</v>
      </c>
      <c r="T24" t="e">
        <f ca="1">NT_DIST($Q24,T$5,$R$3,FALSE)</f>
        <v>#NAME?</v>
      </c>
      <c r="U24" t="e">
        <f ca="1">NT_DIST($Q24,U$5,$R$3,FALSE)</f>
        <v>#NAME?</v>
      </c>
      <c r="AH24" s="53" t="s">
        <v>140</v>
      </c>
      <c r="AI24" s="155" t="e">
        <f ca="1">NT_DIST(AI23,AI21,AI22,TRUE)</f>
        <v>#NAME?</v>
      </c>
      <c r="AK24" t="e">
        <f ca="1">FTEXT(AI24)</f>
        <v>#NAME?</v>
      </c>
      <c r="AO24" s="8"/>
      <c r="AP24" s="8"/>
      <c r="AX24" s="155" t="e">
        <f ca="1">T1_SIZE(AX3)</f>
        <v>#NAME?</v>
      </c>
      <c r="AZ24" s="22" t="s">
        <v>868</v>
      </c>
    </row>
    <row r="25" spans="1:52" x14ac:dyDescent="0.25">
      <c r="A25">
        <f t="shared" si="0"/>
        <v>-8.300000000000006</v>
      </c>
      <c r="B25" t="e">
        <f ca="1">NT_DIST($A25,$B$3,B$5,FALSE)</f>
        <v>#NAME?</v>
      </c>
      <c r="C25" t="e">
        <f ca="1">NT_DIST($A25,$B$3,C$5,FALSE)</f>
        <v>#NAME?</v>
      </c>
      <c r="D25" t="e">
        <f ca="1">NT_DIST($A25,$B$3,D$5,FALSE)</f>
        <v>#NAME?</v>
      </c>
      <c r="E25" t="e">
        <f ca="1">NT_DIST($A25,$B$3,E$5,FALSE)</f>
        <v>#NAME?</v>
      </c>
      <c r="H25" t="s">
        <v>168</v>
      </c>
      <c r="I25" s="163">
        <v>10</v>
      </c>
      <c r="Q25">
        <f t="shared" si="1"/>
        <v>-4.300000000000006</v>
      </c>
      <c r="R25" t="e">
        <f ca="1">NT_DIST($Q25,R$5,$R$3,FALSE)</f>
        <v>#NAME?</v>
      </c>
      <c r="S25" t="e">
        <f ca="1">NT_DIST($Q25,S$5,$R$3,FALSE)</f>
        <v>#NAME?</v>
      </c>
      <c r="T25" t="e">
        <f ca="1">NT_DIST($Q25,T$5,$R$3,FALSE)</f>
        <v>#NAME?</v>
      </c>
      <c r="U25" t="e">
        <f ca="1">NT_DIST($Q25,U$5,$R$3,FALSE)</f>
        <v>#NAME?</v>
      </c>
    </row>
    <row r="26" spans="1:52" x14ac:dyDescent="0.25">
      <c r="A26">
        <f t="shared" si="0"/>
        <v>-8.2000000000000064</v>
      </c>
      <c r="B26" t="e">
        <f ca="1">NT_DIST($A26,$B$3,B$5,FALSE)</f>
        <v>#NAME?</v>
      </c>
      <c r="C26" t="e">
        <f ca="1">NT_DIST($A26,$B$3,C$5,FALSE)</f>
        <v>#NAME?</v>
      </c>
      <c r="D26" t="e">
        <f ca="1">NT_DIST($A26,$B$3,D$5,FALSE)</f>
        <v>#NAME?</v>
      </c>
      <c r="E26" t="e">
        <f ca="1">NT_DIST($A26,$B$3,E$5,FALSE)</f>
        <v>#NAME?</v>
      </c>
      <c r="H26" s="53" t="s">
        <v>834</v>
      </c>
      <c r="I26" s="163">
        <v>4</v>
      </c>
      <c r="Q26">
        <f t="shared" si="1"/>
        <v>-4.2000000000000064</v>
      </c>
      <c r="R26" t="e">
        <f ca="1">NT_DIST($Q26,R$5,$R$3,FALSE)</f>
        <v>#NAME?</v>
      </c>
      <c r="S26" t="e">
        <f ca="1">NT_DIST($Q26,S$5,$R$3,FALSE)</f>
        <v>#NAME?</v>
      </c>
      <c r="T26" t="e">
        <f ca="1">NT_DIST($Q26,T$5,$R$3,FALSE)</f>
        <v>#NAME?</v>
      </c>
      <c r="U26" t="e">
        <f ca="1">NT_DIST($Q26,U$5,$R$3,FALSE)</f>
        <v>#NAME?</v>
      </c>
      <c r="AH26" s="53" t="s">
        <v>140</v>
      </c>
      <c r="AI26" s="439">
        <v>0.01</v>
      </c>
    </row>
    <row r="27" spans="1:52" x14ac:dyDescent="0.25">
      <c r="A27">
        <f t="shared" si="0"/>
        <v>-8.1000000000000068</v>
      </c>
      <c r="B27" t="e">
        <f ca="1">NT_DIST($A27,$B$3,B$5,FALSE)</f>
        <v>#NAME?</v>
      </c>
      <c r="C27" t="e">
        <f ca="1">NT_DIST($A27,$B$3,C$5,FALSE)</f>
        <v>#NAME?</v>
      </c>
      <c r="D27" t="e">
        <f ca="1">NT_DIST($A27,$B$3,D$5,FALSE)</f>
        <v>#NAME?</v>
      </c>
      <c r="E27" t="e">
        <f ca="1">NT_DIST($A27,$B$3,E$5,FALSE)</f>
        <v>#NAME?</v>
      </c>
      <c r="H27" s="53" t="s">
        <v>907</v>
      </c>
      <c r="I27" s="163" t="e">
        <f ca="1">NT_DIST(I24,I25,I26,FALSE)</f>
        <v>#NAME?</v>
      </c>
      <c r="Q27">
        <f t="shared" si="1"/>
        <v>-4.1000000000000068</v>
      </c>
      <c r="R27" t="e">
        <f ca="1">NT_DIST($Q27,R$5,$R$3,FALSE)</f>
        <v>#NAME?</v>
      </c>
      <c r="S27" t="e">
        <f ca="1">NT_DIST($Q27,S$5,$R$3,FALSE)</f>
        <v>#NAME?</v>
      </c>
      <c r="T27" t="e">
        <f ca="1">NT_DIST($Q27,T$5,$R$3,FALSE)</f>
        <v>#NAME?</v>
      </c>
      <c r="U27" t="e">
        <f ca="1">NT_DIST($Q27,U$5,$R$3,FALSE)</f>
        <v>#NAME?</v>
      </c>
      <c r="AH27" t="s">
        <v>168</v>
      </c>
      <c r="AI27" s="163">
        <v>25</v>
      </c>
    </row>
    <row r="28" spans="1:52" x14ac:dyDescent="0.25">
      <c r="A28">
        <f t="shared" si="0"/>
        <v>-8.0000000000000071</v>
      </c>
      <c r="B28" t="e">
        <f ca="1">NT_DIST($A28,$B$3,B$5,FALSE)</f>
        <v>#NAME?</v>
      </c>
      <c r="C28" t="e">
        <f ca="1">NT_DIST($A28,$B$3,C$5,FALSE)</f>
        <v>#NAME?</v>
      </c>
      <c r="D28" t="e">
        <f ca="1">NT_DIST($A28,$B$3,D$5,FALSE)</f>
        <v>#NAME?</v>
      </c>
      <c r="E28" t="e">
        <f ca="1">NT_DIST($A28,$B$3,E$5,FALSE)</f>
        <v>#NAME?</v>
      </c>
      <c r="H28" s="53" t="s">
        <v>908</v>
      </c>
      <c r="I28" s="155" t="e">
        <f ca="1">NT_DIST(I24,I25,I26,TRUE)</f>
        <v>#NAME?</v>
      </c>
      <c r="Q28">
        <f t="shared" si="1"/>
        <v>-4.0000000000000071</v>
      </c>
      <c r="R28" t="e">
        <f ca="1">NT_DIST($Q28,R$5,$R$3,FALSE)</f>
        <v>#NAME?</v>
      </c>
      <c r="S28" t="e">
        <f ca="1">NT_DIST($Q28,S$5,$R$3,FALSE)</f>
        <v>#NAME?</v>
      </c>
      <c r="T28" t="e">
        <f ca="1">NT_DIST($Q28,T$5,$R$3,FALSE)</f>
        <v>#NAME?</v>
      </c>
      <c r="U28" t="e">
        <f ca="1">NT_DIST($Q28,U$5,$R$3,FALSE)</f>
        <v>#NAME?</v>
      </c>
      <c r="AH28" t="s">
        <v>1210</v>
      </c>
      <c r="AI28" s="163">
        <v>-6</v>
      </c>
    </row>
    <row r="29" spans="1:52" x14ac:dyDescent="0.25">
      <c r="A29">
        <f t="shared" si="0"/>
        <v>-7.9000000000000075</v>
      </c>
      <c r="B29" t="e">
        <f ca="1">NT_DIST($A29,$B$3,B$5,FALSE)</f>
        <v>#NAME?</v>
      </c>
      <c r="C29" t="e">
        <f ca="1">NT_DIST($A29,$B$3,C$5,FALSE)</f>
        <v>#NAME?</v>
      </c>
      <c r="D29" t="e">
        <f ca="1">NT_DIST($A29,$B$3,D$5,FALSE)</f>
        <v>#NAME?</v>
      </c>
      <c r="E29" t="e">
        <f ca="1">NT_DIST($A29,$B$3,E$5,FALSE)</f>
        <v>#NAME?</v>
      </c>
      <c r="Q29">
        <f t="shared" si="1"/>
        <v>-3.900000000000007</v>
      </c>
      <c r="R29" t="e">
        <f ca="1">NT_DIST($Q29,R$5,$R$3,FALSE)</f>
        <v>#NAME?</v>
      </c>
      <c r="S29" t="e">
        <f ca="1">NT_DIST($Q29,S$5,$R$3,FALSE)</f>
        <v>#NAME?</v>
      </c>
      <c r="T29" t="e">
        <f ca="1">NT_DIST($Q29,T$5,$R$3,FALSE)</f>
        <v>#NAME?</v>
      </c>
      <c r="U29" t="e">
        <f ca="1">NT_DIST($Q29,U$5,$R$3,FALSE)</f>
        <v>#NAME?</v>
      </c>
      <c r="AH29" t="s">
        <v>177</v>
      </c>
      <c r="AI29" s="163" t="e">
        <f ca="1">NT_INV(AI26,AI27,AI28)</f>
        <v>#NAME?</v>
      </c>
      <c r="AK29" t="e">
        <f ca="1">FTEXT(AI29)</f>
        <v>#NAME?</v>
      </c>
    </row>
    <row r="30" spans="1:52" x14ac:dyDescent="0.25">
      <c r="A30">
        <f t="shared" si="0"/>
        <v>-7.8000000000000078</v>
      </c>
      <c r="B30" t="e">
        <f ca="1">NT_DIST($A30,$B$3,B$5,FALSE)</f>
        <v>#NAME?</v>
      </c>
      <c r="C30" t="e">
        <f ca="1">NT_DIST($A30,$B$3,C$5,FALSE)</f>
        <v>#NAME?</v>
      </c>
      <c r="D30" t="e">
        <f ca="1">NT_DIST($A30,$B$3,D$5,FALSE)</f>
        <v>#NAME?</v>
      </c>
      <c r="E30" t="e">
        <f ca="1">NT_DIST($A30,$B$3,E$5,FALSE)</f>
        <v>#NAME?</v>
      </c>
      <c r="Q30">
        <f t="shared" si="1"/>
        <v>-3.8000000000000069</v>
      </c>
      <c r="R30" t="e">
        <f ca="1">NT_DIST($Q30,R$5,$R$3,FALSE)</f>
        <v>#NAME?</v>
      </c>
      <c r="S30" t="e">
        <f ca="1">NT_DIST($Q30,S$5,$R$3,FALSE)</f>
        <v>#NAME?</v>
      </c>
      <c r="T30" t="e">
        <f ca="1">NT_DIST($Q30,T$5,$R$3,FALSE)</f>
        <v>#NAME?</v>
      </c>
      <c r="U30" t="e">
        <f ca="1">NT_DIST($Q30,U$5,$R$3,FALSE)</f>
        <v>#NAME?</v>
      </c>
      <c r="AH30" s="53" t="s">
        <v>140</v>
      </c>
      <c r="AI30" s="155" t="e">
        <f ca="1">NT_DIST(AI29,AI27,AI28,TRUE)</f>
        <v>#NAME?</v>
      </c>
      <c r="AK30" t="e">
        <f ca="1">FTEXT(AI30)</f>
        <v>#NAME?</v>
      </c>
    </row>
    <row r="31" spans="1:52" x14ac:dyDescent="0.25">
      <c r="A31">
        <f t="shared" si="0"/>
        <v>-7.7000000000000082</v>
      </c>
      <c r="B31" t="e">
        <f ca="1">NT_DIST($A31,$B$3,B$5,FALSE)</f>
        <v>#NAME?</v>
      </c>
      <c r="C31" t="e">
        <f ca="1">NT_DIST($A31,$B$3,C$5,FALSE)</f>
        <v>#NAME?</v>
      </c>
      <c r="D31" t="e">
        <f ca="1">NT_DIST($A31,$B$3,D$5,FALSE)</f>
        <v>#NAME?</v>
      </c>
      <c r="E31" t="e">
        <f ca="1">NT_DIST($A31,$B$3,E$5,FALSE)</f>
        <v>#NAME?</v>
      </c>
      <c r="Q31">
        <f t="shared" si="1"/>
        <v>-3.7000000000000068</v>
      </c>
      <c r="R31" t="e">
        <f ca="1">NT_DIST($Q31,R$5,$R$3,FALSE)</f>
        <v>#NAME?</v>
      </c>
      <c r="S31" t="e">
        <f ca="1">NT_DIST($Q31,S$5,$R$3,FALSE)</f>
        <v>#NAME?</v>
      </c>
      <c r="T31" t="e">
        <f ca="1">NT_DIST($Q31,T$5,$R$3,FALSE)</f>
        <v>#NAME?</v>
      </c>
      <c r="U31" t="e">
        <f ca="1">NT_DIST($Q31,U$5,$R$3,FALSE)</f>
        <v>#NAME?</v>
      </c>
    </row>
    <row r="32" spans="1:52" x14ac:dyDescent="0.25">
      <c r="A32">
        <f t="shared" si="0"/>
        <v>-7.6000000000000085</v>
      </c>
      <c r="B32" t="e">
        <f ca="1">NT_DIST($A32,$B$3,B$5,FALSE)</f>
        <v>#NAME?</v>
      </c>
      <c r="C32" t="e">
        <f ca="1">NT_DIST($A32,$B$3,C$5,FALSE)</f>
        <v>#NAME?</v>
      </c>
      <c r="D32" t="e">
        <f ca="1">NT_DIST($A32,$B$3,D$5,FALSE)</f>
        <v>#NAME?</v>
      </c>
      <c r="E32" t="e">
        <f ca="1">NT_DIST($A32,$B$3,E$5,FALSE)</f>
        <v>#NAME?</v>
      </c>
      <c r="Q32">
        <f t="shared" si="1"/>
        <v>-3.6000000000000068</v>
      </c>
      <c r="R32" t="e">
        <f ca="1">NT_DIST($Q32,R$5,$R$3,FALSE)</f>
        <v>#NAME?</v>
      </c>
      <c r="S32" t="e">
        <f ca="1">NT_DIST($Q32,S$5,$R$3,FALSE)</f>
        <v>#NAME?</v>
      </c>
      <c r="T32" t="e">
        <f ca="1">NT_DIST($Q32,T$5,$R$3,FALSE)</f>
        <v>#NAME?</v>
      </c>
      <c r="U32" t="e">
        <f ca="1">NT_DIST($Q32,U$5,$R$3,FALSE)</f>
        <v>#NAME?</v>
      </c>
    </row>
    <row r="33" spans="1:21" x14ac:dyDescent="0.25">
      <c r="A33">
        <f t="shared" si="0"/>
        <v>-7.5000000000000089</v>
      </c>
      <c r="B33" t="e">
        <f ca="1">NT_DIST($A33,$B$3,B$5,FALSE)</f>
        <v>#NAME?</v>
      </c>
      <c r="C33" t="e">
        <f ca="1">NT_DIST($A33,$B$3,C$5,FALSE)</f>
        <v>#NAME?</v>
      </c>
      <c r="D33" t="e">
        <f ca="1">NT_DIST($A33,$B$3,D$5,FALSE)</f>
        <v>#NAME?</v>
      </c>
      <c r="E33" t="e">
        <f ca="1">NT_DIST($A33,$B$3,E$5,FALSE)</f>
        <v>#NAME?</v>
      </c>
      <c r="Q33">
        <f t="shared" si="1"/>
        <v>-3.5000000000000067</v>
      </c>
      <c r="R33" t="e">
        <f ca="1">NT_DIST($Q33,R$5,$R$3,FALSE)</f>
        <v>#NAME?</v>
      </c>
      <c r="S33" t="e">
        <f ca="1">NT_DIST($Q33,S$5,$R$3,FALSE)</f>
        <v>#NAME?</v>
      </c>
      <c r="T33" t="e">
        <f ca="1">NT_DIST($Q33,T$5,$R$3,FALSE)</f>
        <v>#NAME?</v>
      </c>
      <c r="U33" t="e">
        <f ca="1">NT_DIST($Q33,U$5,$R$3,FALSE)</f>
        <v>#NAME?</v>
      </c>
    </row>
    <row r="34" spans="1:21" x14ac:dyDescent="0.25">
      <c r="A34">
        <f t="shared" si="0"/>
        <v>-7.4000000000000092</v>
      </c>
      <c r="B34" t="e">
        <f ca="1">NT_DIST($A34,$B$3,B$5,FALSE)</f>
        <v>#NAME?</v>
      </c>
      <c r="C34" t="e">
        <f ca="1">NT_DIST($A34,$B$3,C$5,FALSE)</f>
        <v>#NAME?</v>
      </c>
      <c r="D34" t="e">
        <f ca="1">NT_DIST($A34,$B$3,D$5,FALSE)</f>
        <v>#NAME?</v>
      </c>
      <c r="E34" t="e">
        <f ca="1">NT_DIST($A34,$B$3,E$5,FALSE)</f>
        <v>#NAME?</v>
      </c>
      <c r="Q34">
        <f t="shared" si="1"/>
        <v>-3.4000000000000066</v>
      </c>
      <c r="R34" t="e">
        <f ca="1">NT_DIST($Q34,R$5,$R$3,FALSE)</f>
        <v>#NAME?</v>
      </c>
      <c r="S34" t="e">
        <f ca="1">NT_DIST($Q34,S$5,$R$3,FALSE)</f>
        <v>#NAME?</v>
      </c>
      <c r="T34" t="e">
        <f ca="1">NT_DIST($Q34,T$5,$R$3,FALSE)</f>
        <v>#NAME?</v>
      </c>
      <c r="U34" t="e">
        <f ca="1">NT_DIST($Q34,U$5,$R$3,FALSE)</f>
        <v>#NAME?</v>
      </c>
    </row>
    <row r="35" spans="1:21" x14ac:dyDescent="0.25">
      <c r="A35">
        <f t="shared" si="0"/>
        <v>-7.3000000000000096</v>
      </c>
      <c r="B35" t="e">
        <f ca="1">NT_DIST($A35,$B$3,B$5,FALSE)</f>
        <v>#NAME?</v>
      </c>
      <c r="C35" t="e">
        <f ca="1">NT_DIST($A35,$B$3,C$5,FALSE)</f>
        <v>#NAME?</v>
      </c>
      <c r="D35" t="e">
        <f ca="1">NT_DIST($A35,$B$3,D$5,FALSE)</f>
        <v>#NAME?</v>
      </c>
      <c r="E35" t="e">
        <f ca="1">NT_DIST($A35,$B$3,E$5,FALSE)</f>
        <v>#NAME?</v>
      </c>
      <c r="Q35">
        <f t="shared" si="1"/>
        <v>-3.3000000000000065</v>
      </c>
      <c r="R35" t="e">
        <f ca="1">NT_DIST($Q35,R$5,$R$3,FALSE)</f>
        <v>#NAME?</v>
      </c>
      <c r="S35" t="e">
        <f ca="1">NT_DIST($Q35,S$5,$R$3,FALSE)</f>
        <v>#NAME?</v>
      </c>
      <c r="T35" t="e">
        <f ca="1">NT_DIST($Q35,T$5,$R$3,FALSE)</f>
        <v>#NAME?</v>
      </c>
      <c r="U35" t="e">
        <f ca="1">NT_DIST($Q35,U$5,$R$3,FALSE)</f>
        <v>#NAME?</v>
      </c>
    </row>
    <row r="36" spans="1:21" x14ac:dyDescent="0.25">
      <c r="A36">
        <f t="shared" si="0"/>
        <v>-7.2000000000000099</v>
      </c>
      <c r="B36" t="e">
        <f ca="1">NT_DIST($A36,$B$3,B$5,FALSE)</f>
        <v>#NAME?</v>
      </c>
      <c r="C36" t="e">
        <f ca="1">NT_DIST($A36,$B$3,C$5,FALSE)</f>
        <v>#NAME?</v>
      </c>
      <c r="D36" t="e">
        <f ca="1">NT_DIST($A36,$B$3,D$5,FALSE)</f>
        <v>#NAME?</v>
      </c>
      <c r="E36" t="e">
        <f ca="1">NT_DIST($A36,$B$3,E$5,FALSE)</f>
        <v>#NAME?</v>
      </c>
      <c r="Q36">
        <f t="shared" si="1"/>
        <v>-3.2000000000000064</v>
      </c>
      <c r="R36" t="e">
        <f ca="1">NT_DIST($Q36,R$5,$R$3,FALSE)</f>
        <v>#NAME?</v>
      </c>
      <c r="S36" t="e">
        <f ca="1">NT_DIST($Q36,S$5,$R$3,FALSE)</f>
        <v>#NAME?</v>
      </c>
      <c r="T36" t="e">
        <f ca="1">NT_DIST($Q36,T$5,$R$3,FALSE)</f>
        <v>#NAME?</v>
      </c>
      <c r="U36" t="e">
        <f ca="1">NT_DIST($Q36,U$5,$R$3,FALSE)</f>
        <v>#NAME?</v>
      </c>
    </row>
    <row r="37" spans="1:21" x14ac:dyDescent="0.25">
      <c r="A37">
        <f t="shared" si="0"/>
        <v>-7.1000000000000103</v>
      </c>
      <c r="B37" t="e">
        <f ca="1">NT_DIST($A37,$B$3,B$5,FALSE)</f>
        <v>#NAME?</v>
      </c>
      <c r="C37" t="e">
        <f ca="1">NT_DIST($A37,$B$3,C$5,FALSE)</f>
        <v>#NAME?</v>
      </c>
      <c r="D37" t="e">
        <f ca="1">NT_DIST($A37,$B$3,D$5,FALSE)</f>
        <v>#NAME?</v>
      </c>
      <c r="E37" t="e">
        <f ca="1">NT_DIST($A37,$B$3,E$5,FALSE)</f>
        <v>#NAME?</v>
      </c>
      <c r="Q37">
        <f t="shared" si="1"/>
        <v>-3.1000000000000063</v>
      </c>
      <c r="R37" t="e">
        <f ca="1">NT_DIST($Q37,R$5,$R$3,FALSE)</f>
        <v>#NAME?</v>
      </c>
      <c r="S37" t="e">
        <f ca="1">NT_DIST($Q37,S$5,$R$3,FALSE)</f>
        <v>#NAME?</v>
      </c>
      <c r="T37" t="e">
        <f ca="1">NT_DIST($Q37,T$5,$R$3,FALSE)</f>
        <v>#NAME?</v>
      </c>
      <c r="U37" t="e">
        <f ca="1">NT_DIST($Q37,U$5,$R$3,FALSE)</f>
        <v>#NAME?</v>
      </c>
    </row>
    <row r="38" spans="1:21" x14ac:dyDescent="0.25">
      <c r="A38">
        <f t="shared" si="0"/>
        <v>-7.0000000000000107</v>
      </c>
      <c r="B38" t="e">
        <f ca="1">NT_DIST($A38,$B$3,B$5,FALSE)</f>
        <v>#NAME?</v>
      </c>
      <c r="C38" t="e">
        <f ca="1">NT_DIST($A38,$B$3,C$5,FALSE)</f>
        <v>#NAME?</v>
      </c>
      <c r="D38" t="e">
        <f ca="1">NT_DIST($A38,$B$3,D$5,FALSE)</f>
        <v>#NAME?</v>
      </c>
      <c r="E38" t="e">
        <f ca="1">NT_DIST($A38,$B$3,E$5,FALSE)</f>
        <v>#NAME?</v>
      </c>
      <c r="Q38">
        <f t="shared" si="1"/>
        <v>-3.0000000000000062</v>
      </c>
      <c r="R38" t="e">
        <f ca="1">NT_DIST($Q38,R$5,$R$3,FALSE)</f>
        <v>#NAME?</v>
      </c>
      <c r="S38" t="e">
        <f ca="1">NT_DIST($Q38,S$5,$R$3,FALSE)</f>
        <v>#NAME?</v>
      </c>
      <c r="T38" t="e">
        <f ca="1">NT_DIST($Q38,T$5,$R$3,FALSE)</f>
        <v>#NAME?</v>
      </c>
      <c r="U38" t="e">
        <f ca="1">NT_DIST($Q38,U$5,$R$3,FALSE)</f>
        <v>#NAME?</v>
      </c>
    </row>
    <row r="39" spans="1:21" x14ac:dyDescent="0.25">
      <c r="A39">
        <f t="shared" si="0"/>
        <v>-6.900000000000011</v>
      </c>
      <c r="B39" t="e">
        <f ca="1">NT_DIST($A39,$B$3,B$5,FALSE)</f>
        <v>#NAME?</v>
      </c>
      <c r="C39" t="e">
        <f ca="1">NT_DIST($A39,$B$3,C$5,FALSE)</f>
        <v>#NAME?</v>
      </c>
      <c r="D39" t="e">
        <f ca="1">NT_DIST($A39,$B$3,D$5,FALSE)</f>
        <v>#NAME?</v>
      </c>
      <c r="E39" t="e">
        <f ca="1">NT_DIST($A39,$B$3,E$5,FALSE)</f>
        <v>#NAME?</v>
      </c>
      <c r="Q39">
        <f t="shared" si="1"/>
        <v>-2.9000000000000061</v>
      </c>
      <c r="R39" t="e">
        <f ca="1">NT_DIST($Q39,R$5,$R$3,FALSE)</f>
        <v>#NAME?</v>
      </c>
      <c r="S39" t="e">
        <f ca="1">NT_DIST($Q39,S$5,$R$3,FALSE)</f>
        <v>#NAME?</v>
      </c>
      <c r="T39" t="e">
        <f ca="1">NT_DIST($Q39,T$5,$R$3,FALSE)</f>
        <v>#NAME?</v>
      </c>
      <c r="U39" t="e">
        <f ca="1">NT_DIST($Q39,U$5,$R$3,FALSE)</f>
        <v>#NAME?</v>
      </c>
    </row>
    <row r="40" spans="1:21" x14ac:dyDescent="0.25">
      <c r="A40">
        <f t="shared" si="0"/>
        <v>-6.8000000000000114</v>
      </c>
      <c r="B40" t="e">
        <f ca="1">NT_DIST($A40,$B$3,B$5,FALSE)</f>
        <v>#NAME?</v>
      </c>
      <c r="C40" t="e">
        <f ca="1">NT_DIST($A40,$B$3,C$5,FALSE)</f>
        <v>#NAME?</v>
      </c>
      <c r="D40" t="e">
        <f ca="1">NT_DIST($A40,$B$3,D$5,FALSE)</f>
        <v>#NAME?</v>
      </c>
      <c r="E40" t="e">
        <f ca="1">NT_DIST($A40,$B$3,E$5,FALSE)</f>
        <v>#NAME?</v>
      </c>
      <c r="Q40">
        <f t="shared" si="1"/>
        <v>-2.800000000000006</v>
      </c>
      <c r="R40" t="e">
        <f ca="1">NT_DIST($Q40,R$5,$R$3,FALSE)</f>
        <v>#NAME?</v>
      </c>
      <c r="S40" t="e">
        <f ca="1">NT_DIST($Q40,S$5,$R$3,FALSE)</f>
        <v>#NAME?</v>
      </c>
      <c r="T40" t="e">
        <f ca="1">NT_DIST($Q40,T$5,$R$3,FALSE)</f>
        <v>#NAME?</v>
      </c>
      <c r="U40" t="e">
        <f ca="1">NT_DIST($Q40,U$5,$R$3,FALSE)</f>
        <v>#NAME?</v>
      </c>
    </row>
    <row r="41" spans="1:21" x14ac:dyDescent="0.25">
      <c r="A41">
        <f t="shared" si="0"/>
        <v>-6.7000000000000117</v>
      </c>
      <c r="B41" t="e">
        <f ca="1">NT_DIST($A41,$B$3,B$5,FALSE)</f>
        <v>#NAME?</v>
      </c>
      <c r="C41" t="e">
        <f ca="1">NT_DIST($A41,$B$3,C$5,FALSE)</f>
        <v>#NAME?</v>
      </c>
      <c r="D41" t="e">
        <f ca="1">NT_DIST($A41,$B$3,D$5,FALSE)</f>
        <v>#NAME?</v>
      </c>
      <c r="E41" t="e">
        <f ca="1">NT_DIST($A41,$B$3,E$5,FALSE)</f>
        <v>#NAME?</v>
      </c>
      <c r="Q41">
        <f t="shared" si="1"/>
        <v>-2.700000000000006</v>
      </c>
      <c r="R41" t="e">
        <f ca="1">NT_DIST($Q41,R$5,$R$3,FALSE)</f>
        <v>#NAME?</v>
      </c>
      <c r="S41" t="e">
        <f ca="1">NT_DIST($Q41,S$5,$R$3,FALSE)</f>
        <v>#NAME?</v>
      </c>
      <c r="T41" t="e">
        <f ca="1">NT_DIST($Q41,T$5,$R$3,FALSE)</f>
        <v>#NAME?</v>
      </c>
      <c r="U41" t="e">
        <f ca="1">NT_DIST($Q41,U$5,$R$3,FALSE)</f>
        <v>#NAME?</v>
      </c>
    </row>
    <row r="42" spans="1:21" x14ac:dyDescent="0.25">
      <c r="A42">
        <f t="shared" si="0"/>
        <v>-6.6000000000000121</v>
      </c>
      <c r="B42" t="e">
        <f ca="1">NT_DIST($A42,$B$3,B$5,FALSE)</f>
        <v>#NAME?</v>
      </c>
      <c r="C42" t="e">
        <f ca="1">NT_DIST($A42,$B$3,C$5,FALSE)</f>
        <v>#NAME?</v>
      </c>
      <c r="D42" t="e">
        <f ca="1">NT_DIST($A42,$B$3,D$5,FALSE)</f>
        <v>#NAME?</v>
      </c>
      <c r="E42" t="e">
        <f ca="1">NT_DIST($A42,$B$3,E$5,FALSE)</f>
        <v>#NAME?</v>
      </c>
      <c r="Q42">
        <f t="shared" si="1"/>
        <v>-2.6000000000000059</v>
      </c>
      <c r="R42" t="e">
        <f ca="1">NT_DIST($Q42,R$5,$R$3,FALSE)</f>
        <v>#NAME?</v>
      </c>
      <c r="S42" t="e">
        <f ca="1">NT_DIST($Q42,S$5,$R$3,FALSE)</f>
        <v>#NAME?</v>
      </c>
      <c r="T42" t="e">
        <f ca="1">NT_DIST($Q42,T$5,$R$3,FALSE)</f>
        <v>#NAME?</v>
      </c>
      <c r="U42" t="e">
        <f ca="1">NT_DIST($Q42,U$5,$R$3,FALSE)</f>
        <v>#NAME?</v>
      </c>
    </row>
    <row r="43" spans="1:21" x14ac:dyDescent="0.25">
      <c r="A43">
        <f t="shared" si="0"/>
        <v>-6.5000000000000124</v>
      </c>
      <c r="B43" t="e">
        <f ca="1">NT_DIST($A43,$B$3,B$5,FALSE)</f>
        <v>#NAME?</v>
      </c>
      <c r="C43" t="e">
        <f ca="1">NT_DIST($A43,$B$3,C$5,FALSE)</f>
        <v>#NAME?</v>
      </c>
      <c r="D43" t="e">
        <f ca="1">NT_DIST($A43,$B$3,D$5,FALSE)</f>
        <v>#NAME?</v>
      </c>
      <c r="E43" t="e">
        <f ca="1">NT_DIST($A43,$B$3,E$5,FALSE)</f>
        <v>#NAME?</v>
      </c>
      <c r="Q43">
        <f t="shared" si="1"/>
        <v>-2.5000000000000058</v>
      </c>
      <c r="R43" t="e">
        <f ca="1">NT_DIST($Q43,R$5,$R$3,FALSE)</f>
        <v>#NAME?</v>
      </c>
      <c r="S43" t="e">
        <f ca="1">NT_DIST($Q43,S$5,$R$3,FALSE)</f>
        <v>#NAME?</v>
      </c>
      <c r="T43" t="e">
        <f ca="1">NT_DIST($Q43,T$5,$R$3,FALSE)</f>
        <v>#NAME?</v>
      </c>
      <c r="U43" t="e">
        <f ca="1">NT_DIST($Q43,U$5,$R$3,FALSE)</f>
        <v>#NAME?</v>
      </c>
    </row>
    <row r="44" spans="1:21" x14ac:dyDescent="0.25">
      <c r="A44">
        <f t="shared" si="0"/>
        <v>-6.4000000000000128</v>
      </c>
      <c r="B44" t="e">
        <f ca="1">NT_DIST($A44,$B$3,B$5,FALSE)</f>
        <v>#NAME?</v>
      </c>
      <c r="C44" t="e">
        <f ca="1">NT_DIST($A44,$B$3,C$5,FALSE)</f>
        <v>#NAME?</v>
      </c>
      <c r="D44" t="e">
        <f ca="1">NT_DIST($A44,$B$3,D$5,FALSE)</f>
        <v>#NAME?</v>
      </c>
      <c r="E44" t="e">
        <f ca="1">NT_DIST($A44,$B$3,E$5,FALSE)</f>
        <v>#NAME?</v>
      </c>
      <c r="Q44">
        <f t="shared" si="1"/>
        <v>-2.4000000000000057</v>
      </c>
      <c r="R44" t="e">
        <f ca="1">NT_DIST($Q44,R$5,$R$3,FALSE)</f>
        <v>#NAME?</v>
      </c>
      <c r="S44" t="e">
        <f ca="1">NT_DIST($Q44,S$5,$R$3,FALSE)</f>
        <v>#NAME?</v>
      </c>
      <c r="T44" t="e">
        <f ca="1">NT_DIST($Q44,T$5,$R$3,FALSE)</f>
        <v>#NAME?</v>
      </c>
      <c r="U44" t="e">
        <f ca="1">NT_DIST($Q44,U$5,$R$3,FALSE)</f>
        <v>#NAME?</v>
      </c>
    </row>
    <row r="45" spans="1:21" x14ac:dyDescent="0.25">
      <c r="A45">
        <f t="shared" si="0"/>
        <v>-6.3000000000000131</v>
      </c>
      <c r="B45" t="e">
        <f ca="1">NT_DIST($A45,$B$3,B$5,FALSE)</f>
        <v>#NAME?</v>
      </c>
      <c r="C45" t="e">
        <f ca="1">NT_DIST($A45,$B$3,C$5,FALSE)</f>
        <v>#NAME?</v>
      </c>
      <c r="D45" t="e">
        <f ca="1">NT_DIST($A45,$B$3,D$5,FALSE)</f>
        <v>#NAME?</v>
      </c>
      <c r="E45" t="e">
        <f ca="1">NT_DIST($A45,$B$3,E$5,FALSE)</f>
        <v>#NAME?</v>
      </c>
      <c r="Q45">
        <f t="shared" si="1"/>
        <v>-2.3000000000000056</v>
      </c>
      <c r="R45" t="e">
        <f ca="1">NT_DIST($Q45,R$5,$R$3,FALSE)</f>
        <v>#NAME?</v>
      </c>
      <c r="S45" t="e">
        <f ca="1">NT_DIST($Q45,S$5,$R$3,FALSE)</f>
        <v>#NAME?</v>
      </c>
      <c r="T45" t="e">
        <f ca="1">NT_DIST($Q45,T$5,$R$3,FALSE)</f>
        <v>#NAME?</v>
      </c>
      <c r="U45" t="e">
        <f ca="1">NT_DIST($Q45,U$5,$R$3,FALSE)</f>
        <v>#NAME?</v>
      </c>
    </row>
    <row r="46" spans="1:21" x14ac:dyDescent="0.25">
      <c r="A46">
        <f t="shared" si="0"/>
        <v>-6.2000000000000135</v>
      </c>
      <c r="B46" t="e">
        <f ca="1">NT_DIST($A46,$B$3,B$5,FALSE)</f>
        <v>#NAME?</v>
      </c>
      <c r="C46" t="e">
        <f ca="1">NT_DIST($A46,$B$3,C$5,FALSE)</f>
        <v>#NAME?</v>
      </c>
      <c r="D46" t="e">
        <f ca="1">NT_DIST($A46,$B$3,D$5,FALSE)</f>
        <v>#NAME?</v>
      </c>
      <c r="E46" t="e">
        <f ca="1">NT_DIST($A46,$B$3,E$5,FALSE)</f>
        <v>#NAME?</v>
      </c>
      <c r="Q46">
        <f t="shared" si="1"/>
        <v>-2.2000000000000055</v>
      </c>
      <c r="R46" t="e">
        <f ca="1">NT_DIST($Q46,R$5,$R$3,FALSE)</f>
        <v>#NAME?</v>
      </c>
      <c r="S46" t="e">
        <f ca="1">NT_DIST($Q46,S$5,$R$3,FALSE)</f>
        <v>#NAME?</v>
      </c>
      <c r="T46" t="e">
        <f ca="1">NT_DIST($Q46,T$5,$R$3,FALSE)</f>
        <v>#NAME?</v>
      </c>
      <c r="U46" t="e">
        <f ca="1">NT_DIST($Q46,U$5,$R$3,FALSE)</f>
        <v>#NAME?</v>
      </c>
    </row>
    <row r="47" spans="1:21" x14ac:dyDescent="0.25">
      <c r="A47">
        <f t="shared" si="0"/>
        <v>-6.1000000000000139</v>
      </c>
      <c r="B47" t="e">
        <f ca="1">NT_DIST($A47,$B$3,B$5,FALSE)</f>
        <v>#NAME?</v>
      </c>
      <c r="C47" t="e">
        <f ca="1">NT_DIST($A47,$B$3,C$5,FALSE)</f>
        <v>#NAME?</v>
      </c>
      <c r="D47" t="e">
        <f ca="1">NT_DIST($A47,$B$3,D$5,FALSE)</f>
        <v>#NAME?</v>
      </c>
      <c r="E47" t="e">
        <f ca="1">NT_DIST($A47,$B$3,E$5,FALSE)</f>
        <v>#NAME?</v>
      </c>
      <c r="Q47">
        <f t="shared" si="1"/>
        <v>-2.1000000000000054</v>
      </c>
      <c r="R47" t="e">
        <f ca="1">NT_DIST($Q47,R$5,$R$3,FALSE)</f>
        <v>#NAME?</v>
      </c>
      <c r="S47" t="e">
        <f ca="1">NT_DIST($Q47,S$5,$R$3,FALSE)</f>
        <v>#NAME?</v>
      </c>
      <c r="T47" t="e">
        <f ca="1">NT_DIST($Q47,T$5,$R$3,FALSE)</f>
        <v>#NAME?</v>
      </c>
      <c r="U47" t="e">
        <f ca="1">NT_DIST($Q47,U$5,$R$3,FALSE)</f>
        <v>#NAME?</v>
      </c>
    </row>
    <row r="48" spans="1:21" x14ac:dyDescent="0.25">
      <c r="A48">
        <f t="shared" si="0"/>
        <v>-6.0000000000000142</v>
      </c>
      <c r="B48" t="e">
        <f ca="1">NT_DIST($A48,$B$3,B$5,FALSE)</f>
        <v>#NAME?</v>
      </c>
      <c r="C48" t="e">
        <f ca="1">NT_DIST($A48,$B$3,C$5,FALSE)</f>
        <v>#NAME?</v>
      </c>
      <c r="D48" t="e">
        <f ca="1">NT_DIST($A48,$B$3,D$5,FALSE)</f>
        <v>#NAME?</v>
      </c>
      <c r="E48" t="e">
        <f ca="1">NT_DIST($A48,$B$3,E$5,FALSE)</f>
        <v>#NAME?</v>
      </c>
      <c r="Q48">
        <f t="shared" si="1"/>
        <v>-2.0000000000000053</v>
      </c>
      <c r="R48" t="e">
        <f ca="1">NT_DIST($Q48,R$5,$R$3,FALSE)</f>
        <v>#NAME?</v>
      </c>
      <c r="S48" t="e">
        <f ca="1">NT_DIST($Q48,S$5,$R$3,FALSE)</f>
        <v>#NAME?</v>
      </c>
      <c r="T48" t="e">
        <f ca="1">NT_DIST($Q48,T$5,$R$3,FALSE)</f>
        <v>#NAME?</v>
      </c>
      <c r="U48" t="e">
        <f ca="1">NT_DIST($Q48,U$5,$R$3,FALSE)</f>
        <v>#NAME?</v>
      </c>
    </row>
    <row r="49" spans="1:21" x14ac:dyDescent="0.25">
      <c r="A49">
        <f t="shared" si="0"/>
        <v>-5.9000000000000146</v>
      </c>
      <c r="B49" t="e">
        <f ca="1">NT_DIST($A49,$B$3,B$5,FALSE)</f>
        <v>#NAME?</v>
      </c>
      <c r="C49" t="e">
        <f ca="1">NT_DIST($A49,$B$3,C$5,FALSE)</f>
        <v>#NAME?</v>
      </c>
      <c r="D49" t="e">
        <f ca="1">NT_DIST($A49,$B$3,D$5,FALSE)</f>
        <v>#NAME?</v>
      </c>
      <c r="E49" t="e">
        <f ca="1">NT_DIST($A49,$B$3,E$5,FALSE)</f>
        <v>#NAME?</v>
      </c>
      <c r="Q49">
        <f t="shared" si="1"/>
        <v>-1.9000000000000052</v>
      </c>
      <c r="R49" t="e">
        <f ca="1">NT_DIST($Q49,R$5,$R$3,FALSE)</f>
        <v>#NAME?</v>
      </c>
      <c r="S49" t="e">
        <f ca="1">NT_DIST($Q49,S$5,$R$3,FALSE)</f>
        <v>#NAME?</v>
      </c>
      <c r="T49" t="e">
        <f ca="1">NT_DIST($Q49,T$5,$R$3,FALSE)</f>
        <v>#NAME?</v>
      </c>
      <c r="U49" t="e">
        <f ca="1">NT_DIST($Q49,U$5,$R$3,FALSE)</f>
        <v>#NAME?</v>
      </c>
    </row>
    <row r="50" spans="1:21" x14ac:dyDescent="0.25">
      <c r="A50">
        <f t="shared" si="0"/>
        <v>-5.8000000000000149</v>
      </c>
      <c r="B50" t="e">
        <f ca="1">NT_DIST($A50,$B$3,B$5,FALSE)</f>
        <v>#NAME?</v>
      </c>
      <c r="C50" t="e">
        <f ca="1">NT_DIST($A50,$B$3,C$5,FALSE)</f>
        <v>#NAME?</v>
      </c>
      <c r="D50" t="e">
        <f ca="1">NT_DIST($A50,$B$3,D$5,FALSE)</f>
        <v>#NAME?</v>
      </c>
      <c r="E50" t="e">
        <f ca="1">NT_DIST($A50,$B$3,E$5,FALSE)</f>
        <v>#NAME?</v>
      </c>
      <c r="Q50">
        <f t="shared" si="1"/>
        <v>-1.8000000000000052</v>
      </c>
      <c r="R50" t="e">
        <f ca="1">NT_DIST($Q50,R$5,$R$3,FALSE)</f>
        <v>#NAME?</v>
      </c>
      <c r="S50" t="e">
        <f ca="1">NT_DIST($Q50,S$5,$R$3,FALSE)</f>
        <v>#NAME?</v>
      </c>
      <c r="T50" t="e">
        <f ca="1">NT_DIST($Q50,T$5,$R$3,FALSE)</f>
        <v>#NAME?</v>
      </c>
      <c r="U50" t="e">
        <f ca="1">NT_DIST($Q50,U$5,$R$3,FALSE)</f>
        <v>#NAME?</v>
      </c>
    </row>
    <row r="51" spans="1:21" x14ac:dyDescent="0.25">
      <c r="A51">
        <f t="shared" si="0"/>
        <v>-5.7000000000000153</v>
      </c>
      <c r="B51" t="e">
        <f ca="1">NT_DIST($A51,$B$3,B$5,FALSE)</f>
        <v>#NAME?</v>
      </c>
      <c r="C51" t="e">
        <f ca="1">NT_DIST($A51,$B$3,C$5,FALSE)</f>
        <v>#NAME?</v>
      </c>
      <c r="D51" t="e">
        <f ca="1">NT_DIST($A51,$B$3,D$5,FALSE)</f>
        <v>#NAME?</v>
      </c>
      <c r="E51" t="e">
        <f ca="1">NT_DIST($A51,$B$3,E$5,FALSE)</f>
        <v>#NAME?</v>
      </c>
      <c r="Q51">
        <f t="shared" si="1"/>
        <v>-1.7000000000000051</v>
      </c>
      <c r="R51" t="e">
        <f ca="1">NT_DIST($Q51,R$5,$R$3,FALSE)</f>
        <v>#NAME?</v>
      </c>
      <c r="S51" t="e">
        <f ca="1">NT_DIST($Q51,S$5,$R$3,FALSE)</f>
        <v>#NAME?</v>
      </c>
      <c r="T51" t="e">
        <f ca="1">NT_DIST($Q51,T$5,$R$3,FALSE)</f>
        <v>#NAME?</v>
      </c>
      <c r="U51" t="e">
        <f ca="1">NT_DIST($Q51,U$5,$R$3,FALSE)</f>
        <v>#NAME?</v>
      </c>
    </row>
    <row r="52" spans="1:21" x14ac:dyDescent="0.25">
      <c r="A52">
        <f t="shared" si="0"/>
        <v>-5.6000000000000156</v>
      </c>
      <c r="B52" t="e">
        <f ca="1">NT_DIST($A52,$B$3,B$5,FALSE)</f>
        <v>#NAME?</v>
      </c>
      <c r="C52" t="e">
        <f ca="1">NT_DIST($A52,$B$3,C$5,FALSE)</f>
        <v>#NAME?</v>
      </c>
      <c r="D52" t="e">
        <f ca="1">NT_DIST($A52,$B$3,D$5,FALSE)</f>
        <v>#NAME?</v>
      </c>
      <c r="E52" t="e">
        <f ca="1">NT_DIST($A52,$B$3,E$5,FALSE)</f>
        <v>#NAME?</v>
      </c>
      <c r="Q52">
        <f t="shared" si="1"/>
        <v>-1.600000000000005</v>
      </c>
      <c r="R52" t="e">
        <f ca="1">NT_DIST($Q52,R$5,$R$3,FALSE)</f>
        <v>#NAME?</v>
      </c>
      <c r="S52" t="e">
        <f ca="1">NT_DIST($Q52,S$5,$R$3,FALSE)</f>
        <v>#NAME?</v>
      </c>
      <c r="T52" t="e">
        <f ca="1">NT_DIST($Q52,T$5,$R$3,FALSE)</f>
        <v>#NAME?</v>
      </c>
      <c r="U52" t="e">
        <f ca="1">NT_DIST($Q52,U$5,$R$3,FALSE)</f>
        <v>#NAME?</v>
      </c>
    </row>
    <row r="53" spans="1:21" x14ac:dyDescent="0.25">
      <c r="A53">
        <f t="shared" si="0"/>
        <v>-5.500000000000016</v>
      </c>
      <c r="B53" t="e">
        <f ca="1">NT_DIST($A53,$B$3,B$5,FALSE)</f>
        <v>#NAME?</v>
      </c>
      <c r="C53" t="e">
        <f ca="1">NT_DIST($A53,$B$3,C$5,FALSE)</f>
        <v>#NAME?</v>
      </c>
      <c r="D53" t="e">
        <f ca="1">NT_DIST($A53,$B$3,D$5,FALSE)</f>
        <v>#NAME?</v>
      </c>
      <c r="E53" t="e">
        <f ca="1">NT_DIST($A53,$B$3,E$5,FALSE)</f>
        <v>#NAME?</v>
      </c>
      <c r="Q53">
        <f t="shared" si="1"/>
        <v>-1.5000000000000049</v>
      </c>
      <c r="R53" t="e">
        <f ca="1">NT_DIST($Q53,R$5,$R$3,FALSE)</f>
        <v>#NAME?</v>
      </c>
      <c r="S53" t="e">
        <f ca="1">NT_DIST($Q53,S$5,$R$3,FALSE)</f>
        <v>#NAME?</v>
      </c>
      <c r="T53" t="e">
        <f ca="1">NT_DIST($Q53,T$5,$R$3,FALSE)</f>
        <v>#NAME?</v>
      </c>
      <c r="U53" t="e">
        <f ca="1">NT_DIST($Q53,U$5,$R$3,FALSE)</f>
        <v>#NAME?</v>
      </c>
    </row>
    <row r="54" spans="1:21" x14ac:dyDescent="0.25">
      <c r="A54">
        <f t="shared" si="0"/>
        <v>-5.4000000000000163</v>
      </c>
      <c r="B54" t="e">
        <f ca="1">NT_DIST($A54,$B$3,B$5,FALSE)</f>
        <v>#NAME?</v>
      </c>
      <c r="C54" t="e">
        <f ca="1">NT_DIST($A54,$B$3,C$5,FALSE)</f>
        <v>#NAME?</v>
      </c>
      <c r="D54" t="e">
        <f ca="1">NT_DIST($A54,$B$3,D$5,FALSE)</f>
        <v>#NAME?</v>
      </c>
      <c r="E54" t="e">
        <f ca="1">NT_DIST($A54,$B$3,E$5,FALSE)</f>
        <v>#NAME?</v>
      </c>
      <c r="Q54">
        <f t="shared" si="1"/>
        <v>-1.4000000000000048</v>
      </c>
      <c r="R54" t="e">
        <f ca="1">NT_DIST($Q54,R$5,$R$3,FALSE)</f>
        <v>#NAME?</v>
      </c>
      <c r="S54" t="e">
        <f ca="1">NT_DIST($Q54,S$5,$R$3,FALSE)</f>
        <v>#NAME?</v>
      </c>
      <c r="T54" t="e">
        <f ca="1">NT_DIST($Q54,T$5,$R$3,FALSE)</f>
        <v>#NAME?</v>
      </c>
      <c r="U54" t="e">
        <f ca="1">NT_DIST($Q54,U$5,$R$3,FALSE)</f>
        <v>#NAME?</v>
      </c>
    </row>
    <row r="55" spans="1:21" x14ac:dyDescent="0.25">
      <c r="A55">
        <f t="shared" si="0"/>
        <v>-5.3000000000000167</v>
      </c>
      <c r="B55" t="e">
        <f ca="1">NT_DIST($A55,$B$3,B$5,FALSE)</f>
        <v>#NAME?</v>
      </c>
      <c r="C55" t="e">
        <f ca="1">NT_DIST($A55,$B$3,C$5,FALSE)</f>
        <v>#NAME?</v>
      </c>
      <c r="D55" t="e">
        <f ca="1">NT_DIST($A55,$B$3,D$5,FALSE)</f>
        <v>#NAME?</v>
      </c>
      <c r="E55" t="e">
        <f ca="1">NT_DIST($A55,$B$3,E$5,FALSE)</f>
        <v>#NAME?</v>
      </c>
      <c r="Q55">
        <f t="shared" si="1"/>
        <v>-1.3000000000000047</v>
      </c>
      <c r="R55" t="e">
        <f ca="1">NT_DIST($Q55,R$5,$R$3,FALSE)</f>
        <v>#NAME?</v>
      </c>
      <c r="S55" t="e">
        <f ca="1">NT_DIST($Q55,S$5,$R$3,FALSE)</f>
        <v>#NAME?</v>
      </c>
      <c r="T55" t="e">
        <f ca="1">NT_DIST($Q55,T$5,$R$3,FALSE)</f>
        <v>#NAME?</v>
      </c>
      <c r="U55" t="e">
        <f ca="1">NT_DIST($Q55,U$5,$R$3,FALSE)</f>
        <v>#NAME?</v>
      </c>
    </row>
    <row r="56" spans="1:21" x14ac:dyDescent="0.25">
      <c r="A56">
        <f t="shared" si="0"/>
        <v>-5.2000000000000171</v>
      </c>
      <c r="B56" t="e">
        <f ca="1">NT_DIST($A56,$B$3,B$5,FALSE)</f>
        <v>#NAME?</v>
      </c>
      <c r="C56" t="e">
        <f ca="1">NT_DIST($A56,$B$3,C$5,FALSE)</f>
        <v>#NAME?</v>
      </c>
      <c r="D56" t="e">
        <f ca="1">NT_DIST($A56,$B$3,D$5,FALSE)</f>
        <v>#NAME?</v>
      </c>
      <c r="E56" t="e">
        <f ca="1">NT_DIST($A56,$B$3,E$5,FALSE)</f>
        <v>#NAME?</v>
      </c>
      <c r="Q56">
        <f t="shared" si="1"/>
        <v>-1.2000000000000046</v>
      </c>
      <c r="R56" t="e">
        <f ca="1">NT_DIST($Q56,R$5,$R$3,FALSE)</f>
        <v>#NAME?</v>
      </c>
      <c r="S56" t="e">
        <f ca="1">NT_DIST($Q56,S$5,$R$3,FALSE)</f>
        <v>#NAME?</v>
      </c>
      <c r="T56" t="e">
        <f ca="1">NT_DIST($Q56,T$5,$R$3,FALSE)</f>
        <v>#NAME?</v>
      </c>
      <c r="U56" t="e">
        <f ca="1">NT_DIST($Q56,U$5,$R$3,FALSE)</f>
        <v>#NAME?</v>
      </c>
    </row>
    <row r="57" spans="1:21" x14ac:dyDescent="0.25">
      <c r="A57">
        <f t="shared" si="0"/>
        <v>-5.1000000000000174</v>
      </c>
      <c r="B57" t="e">
        <f ca="1">NT_DIST($A57,$B$3,B$5,FALSE)</f>
        <v>#NAME?</v>
      </c>
      <c r="C57" t="e">
        <f ca="1">NT_DIST($A57,$B$3,C$5,FALSE)</f>
        <v>#NAME?</v>
      </c>
      <c r="D57" t="e">
        <f ca="1">NT_DIST($A57,$B$3,D$5,FALSE)</f>
        <v>#NAME?</v>
      </c>
      <c r="E57" t="e">
        <f ca="1">NT_DIST($A57,$B$3,E$5,FALSE)</f>
        <v>#NAME?</v>
      </c>
      <c r="Q57">
        <f t="shared" si="1"/>
        <v>-1.1000000000000045</v>
      </c>
      <c r="R57" t="e">
        <f ca="1">NT_DIST($Q57,R$5,$R$3,FALSE)</f>
        <v>#NAME?</v>
      </c>
      <c r="S57" t="e">
        <f ca="1">NT_DIST($Q57,S$5,$R$3,FALSE)</f>
        <v>#NAME?</v>
      </c>
      <c r="T57" t="e">
        <f ca="1">NT_DIST($Q57,T$5,$R$3,FALSE)</f>
        <v>#NAME?</v>
      </c>
      <c r="U57" t="e">
        <f ca="1">NT_DIST($Q57,U$5,$R$3,FALSE)</f>
        <v>#NAME?</v>
      </c>
    </row>
    <row r="58" spans="1:21" x14ac:dyDescent="0.25">
      <c r="A58">
        <f t="shared" si="0"/>
        <v>-5.0000000000000178</v>
      </c>
      <c r="B58" t="e">
        <f ca="1">NT_DIST($A58,$B$3,B$5,FALSE)</f>
        <v>#NAME?</v>
      </c>
      <c r="C58" t="e">
        <f ca="1">NT_DIST($A58,$B$3,C$5,FALSE)</f>
        <v>#NAME?</v>
      </c>
      <c r="D58" t="e">
        <f ca="1">NT_DIST($A58,$B$3,D$5,FALSE)</f>
        <v>#NAME?</v>
      </c>
      <c r="E58" t="e">
        <f ca="1">NT_DIST($A58,$B$3,E$5,FALSE)</f>
        <v>#NAME?</v>
      </c>
      <c r="Q58">
        <f t="shared" si="1"/>
        <v>-1.0000000000000044</v>
      </c>
      <c r="R58" t="e">
        <f ca="1">NT_DIST($Q58,R$5,$R$3,FALSE)</f>
        <v>#NAME?</v>
      </c>
      <c r="S58" t="e">
        <f ca="1">NT_DIST($Q58,S$5,$R$3,FALSE)</f>
        <v>#NAME?</v>
      </c>
      <c r="T58" t="e">
        <f ca="1">NT_DIST($Q58,T$5,$R$3,FALSE)</f>
        <v>#NAME?</v>
      </c>
      <c r="U58" t="e">
        <f ca="1">NT_DIST($Q58,U$5,$R$3,FALSE)</f>
        <v>#NAME?</v>
      </c>
    </row>
    <row r="59" spans="1:21" x14ac:dyDescent="0.25">
      <c r="A59">
        <f t="shared" si="0"/>
        <v>-4.9000000000000181</v>
      </c>
      <c r="B59" t="e">
        <f ca="1">NT_DIST($A59,$B$3,B$5,FALSE)</f>
        <v>#NAME?</v>
      </c>
      <c r="C59" t="e">
        <f ca="1">NT_DIST($A59,$B$3,C$5,FALSE)</f>
        <v>#NAME?</v>
      </c>
      <c r="D59" t="e">
        <f ca="1">NT_DIST($A59,$B$3,D$5,FALSE)</f>
        <v>#NAME?</v>
      </c>
      <c r="E59" t="e">
        <f ca="1">NT_DIST($A59,$B$3,E$5,FALSE)</f>
        <v>#NAME?</v>
      </c>
      <c r="Q59">
        <f t="shared" si="1"/>
        <v>-0.90000000000000446</v>
      </c>
      <c r="R59" t="e">
        <f ca="1">NT_DIST($Q59,R$5,$R$3,FALSE)</f>
        <v>#NAME?</v>
      </c>
      <c r="S59" t="e">
        <f ca="1">NT_DIST($Q59,S$5,$R$3,FALSE)</f>
        <v>#NAME?</v>
      </c>
      <c r="T59" t="e">
        <f ca="1">NT_DIST($Q59,T$5,$R$3,FALSE)</f>
        <v>#NAME?</v>
      </c>
      <c r="U59" t="e">
        <f ca="1">NT_DIST($Q59,U$5,$R$3,FALSE)</f>
        <v>#NAME?</v>
      </c>
    </row>
    <row r="60" spans="1:21" x14ac:dyDescent="0.25">
      <c r="A60">
        <f t="shared" si="0"/>
        <v>-4.8000000000000185</v>
      </c>
      <c r="B60" t="e">
        <f ca="1">NT_DIST($A60,$B$3,B$5,FALSE)</f>
        <v>#NAME?</v>
      </c>
      <c r="C60" t="e">
        <f ca="1">NT_DIST($A60,$B$3,C$5,FALSE)</f>
        <v>#NAME?</v>
      </c>
      <c r="D60" t="e">
        <f ca="1">NT_DIST($A60,$B$3,D$5,FALSE)</f>
        <v>#NAME?</v>
      </c>
      <c r="E60" t="e">
        <f ca="1">NT_DIST($A60,$B$3,E$5,FALSE)</f>
        <v>#NAME?</v>
      </c>
      <c r="Q60">
        <f t="shared" si="1"/>
        <v>-0.80000000000000449</v>
      </c>
      <c r="R60" t="e">
        <f ca="1">NT_DIST($Q60,R$5,$R$3,FALSE)</f>
        <v>#NAME?</v>
      </c>
      <c r="S60" t="e">
        <f ca="1">NT_DIST($Q60,S$5,$R$3,FALSE)</f>
        <v>#NAME?</v>
      </c>
      <c r="T60" t="e">
        <f ca="1">NT_DIST($Q60,T$5,$R$3,FALSE)</f>
        <v>#NAME?</v>
      </c>
      <c r="U60" t="e">
        <f ca="1">NT_DIST($Q60,U$5,$R$3,FALSE)</f>
        <v>#NAME?</v>
      </c>
    </row>
    <row r="61" spans="1:21" x14ac:dyDescent="0.25">
      <c r="A61">
        <f t="shared" si="0"/>
        <v>-4.7000000000000188</v>
      </c>
      <c r="B61" t="e">
        <f ca="1">NT_DIST($A61,$B$3,B$5,FALSE)</f>
        <v>#NAME?</v>
      </c>
      <c r="C61" t="e">
        <f ca="1">NT_DIST($A61,$B$3,C$5,FALSE)</f>
        <v>#NAME?</v>
      </c>
      <c r="D61" t="e">
        <f ca="1">NT_DIST($A61,$B$3,D$5,FALSE)</f>
        <v>#NAME?</v>
      </c>
      <c r="E61" t="e">
        <f ca="1">NT_DIST($A61,$B$3,E$5,FALSE)</f>
        <v>#NAME?</v>
      </c>
      <c r="Q61">
        <f t="shared" si="1"/>
        <v>-0.70000000000000451</v>
      </c>
      <c r="R61" t="e">
        <f ca="1">NT_DIST($Q61,R$5,$R$3,FALSE)</f>
        <v>#NAME?</v>
      </c>
      <c r="S61" t="e">
        <f ca="1">NT_DIST($Q61,S$5,$R$3,FALSE)</f>
        <v>#NAME?</v>
      </c>
      <c r="T61" t="e">
        <f ca="1">NT_DIST($Q61,T$5,$R$3,FALSE)</f>
        <v>#NAME?</v>
      </c>
      <c r="U61" t="e">
        <f ca="1">NT_DIST($Q61,U$5,$R$3,FALSE)</f>
        <v>#NAME?</v>
      </c>
    </row>
    <row r="62" spans="1:21" x14ac:dyDescent="0.25">
      <c r="A62">
        <f t="shared" si="0"/>
        <v>-4.6000000000000192</v>
      </c>
      <c r="B62" t="e">
        <f ca="1">NT_DIST($A62,$B$3,B$5,FALSE)</f>
        <v>#NAME?</v>
      </c>
      <c r="C62" t="e">
        <f ca="1">NT_DIST($A62,$B$3,C$5,FALSE)</f>
        <v>#NAME?</v>
      </c>
      <c r="D62" t="e">
        <f ca="1">NT_DIST($A62,$B$3,D$5,FALSE)</f>
        <v>#NAME?</v>
      </c>
      <c r="E62" t="e">
        <f ca="1">NT_DIST($A62,$B$3,E$5,FALSE)</f>
        <v>#NAME?</v>
      </c>
      <c r="Q62">
        <f t="shared" si="1"/>
        <v>-0.60000000000000453</v>
      </c>
      <c r="R62" t="e">
        <f ca="1">NT_DIST($Q62,R$5,$R$3,FALSE)</f>
        <v>#NAME?</v>
      </c>
      <c r="S62" t="e">
        <f ca="1">NT_DIST($Q62,S$5,$R$3,FALSE)</f>
        <v>#NAME?</v>
      </c>
      <c r="T62" t="e">
        <f ca="1">NT_DIST($Q62,T$5,$R$3,FALSE)</f>
        <v>#NAME?</v>
      </c>
      <c r="U62" t="e">
        <f ca="1">NT_DIST($Q62,U$5,$R$3,FALSE)</f>
        <v>#NAME?</v>
      </c>
    </row>
    <row r="63" spans="1:21" x14ac:dyDescent="0.25">
      <c r="A63">
        <f t="shared" si="0"/>
        <v>-4.5000000000000195</v>
      </c>
      <c r="B63" t="e">
        <f ca="1">NT_DIST($A63,$B$3,B$5,FALSE)</f>
        <v>#NAME?</v>
      </c>
      <c r="C63" t="e">
        <f ca="1">NT_DIST($A63,$B$3,C$5,FALSE)</f>
        <v>#NAME?</v>
      </c>
      <c r="D63" t="e">
        <f ca="1">NT_DIST($A63,$B$3,D$5,FALSE)</f>
        <v>#NAME?</v>
      </c>
      <c r="E63" t="e">
        <f ca="1">NT_DIST($A63,$B$3,E$5,FALSE)</f>
        <v>#NAME?</v>
      </c>
      <c r="Q63">
        <f t="shared" si="1"/>
        <v>-0.50000000000000455</v>
      </c>
      <c r="R63" t="e">
        <f ca="1">NT_DIST($Q63,R$5,$R$3,FALSE)</f>
        <v>#NAME?</v>
      </c>
      <c r="S63" t="e">
        <f ca="1">NT_DIST($Q63,S$5,$R$3,FALSE)</f>
        <v>#NAME?</v>
      </c>
      <c r="T63" t="e">
        <f ca="1">NT_DIST($Q63,T$5,$R$3,FALSE)</f>
        <v>#NAME?</v>
      </c>
      <c r="U63" t="e">
        <f ca="1">NT_DIST($Q63,U$5,$R$3,FALSE)</f>
        <v>#NAME?</v>
      </c>
    </row>
    <row r="64" spans="1:21" x14ac:dyDescent="0.25">
      <c r="A64">
        <f t="shared" si="0"/>
        <v>-4.4000000000000199</v>
      </c>
      <c r="B64" t="e">
        <f ca="1">NT_DIST($A64,$B$3,B$5,FALSE)</f>
        <v>#NAME?</v>
      </c>
      <c r="C64" t="e">
        <f ca="1">NT_DIST($A64,$B$3,C$5,FALSE)</f>
        <v>#NAME?</v>
      </c>
      <c r="D64" t="e">
        <f ca="1">NT_DIST($A64,$B$3,D$5,FALSE)</f>
        <v>#NAME?</v>
      </c>
      <c r="E64" t="e">
        <f ca="1">NT_DIST($A64,$B$3,E$5,FALSE)</f>
        <v>#NAME?</v>
      </c>
      <c r="Q64">
        <f t="shared" si="1"/>
        <v>-0.40000000000000457</v>
      </c>
      <c r="R64" t="e">
        <f ca="1">NT_DIST($Q64,R$5,$R$3,FALSE)</f>
        <v>#NAME?</v>
      </c>
      <c r="S64" t="e">
        <f ca="1">NT_DIST($Q64,S$5,$R$3,FALSE)</f>
        <v>#NAME?</v>
      </c>
      <c r="T64" t="e">
        <f ca="1">NT_DIST($Q64,T$5,$R$3,FALSE)</f>
        <v>#NAME?</v>
      </c>
      <c r="U64" t="e">
        <f ca="1">NT_DIST($Q64,U$5,$R$3,FALSE)</f>
        <v>#NAME?</v>
      </c>
    </row>
    <row r="65" spans="1:21" x14ac:dyDescent="0.25">
      <c r="A65">
        <f t="shared" si="0"/>
        <v>-4.3000000000000203</v>
      </c>
      <c r="B65" t="e">
        <f ca="1">NT_DIST($A65,$B$3,B$5,FALSE)</f>
        <v>#NAME?</v>
      </c>
      <c r="C65" t="e">
        <f ca="1">NT_DIST($A65,$B$3,C$5,FALSE)</f>
        <v>#NAME?</v>
      </c>
      <c r="D65" t="e">
        <f ca="1">NT_DIST($A65,$B$3,D$5,FALSE)</f>
        <v>#NAME?</v>
      </c>
      <c r="E65" t="e">
        <f ca="1">NT_DIST($A65,$B$3,E$5,FALSE)</f>
        <v>#NAME?</v>
      </c>
      <c r="Q65">
        <f t="shared" si="1"/>
        <v>-0.3000000000000046</v>
      </c>
      <c r="R65" t="e">
        <f ca="1">NT_DIST($Q65,R$5,$R$3,FALSE)</f>
        <v>#NAME?</v>
      </c>
      <c r="S65" t="e">
        <f ca="1">NT_DIST($Q65,S$5,$R$3,FALSE)</f>
        <v>#NAME?</v>
      </c>
      <c r="T65" t="e">
        <f ca="1">NT_DIST($Q65,T$5,$R$3,FALSE)</f>
        <v>#NAME?</v>
      </c>
      <c r="U65" t="e">
        <f ca="1">NT_DIST($Q65,U$5,$R$3,FALSE)</f>
        <v>#NAME?</v>
      </c>
    </row>
    <row r="66" spans="1:21" x14ac:dyDescent="0.25">
      <c r="A66">
        <f t="shared" si="0"/>
        <v>-4.2000000000000206</v>
      </c>
      <c r="B66" t="e">
        <f ca="1">NT_DIST($A66,$B$3,B$5,FALSE)</f>
        <v>#NAME?</v>
      </c>
      <c r="C66" t="e">
        <f ca="1">NT_DIST($A66,$B$3,C$5,FALSE)</f>
        <v>#NAME?</v>
      </c>
      <c r="D66" t="e">
        <f ca="1">NT_DIST($A66,$B$3,D$5,FALSE)</f>
        <v>#NAME?</v>
      </c>
      <c r="E66" t="e">
        <f ca="1">NT_DIST($A66,$B$3,E$5,FALSE)</f>
        <v>#NAME?</v>
      </c>
      <c r="Q66">
        <f t="shared" si="1"/>
        <v>-0.20000000000000459</v>
      </c>
      <c r="R66" t="e">
        <f ca="1">NT_DIST($Q66,R$5,$R$3,FALSE)</f>
        <v>#NAME?</v>
      </c>
      <c r="S66" t="e">
        <f ca="1">NT_DIST($Q66,S$5,$R$3,FALSE)</f>
        <v>#NAME?</v>
      </c>
      <c r="T66" t="e">
        <f ca="1">NT_DIST($Q66,T$5,$R$3,FALSE)</f>
        <v>#NAME?</v>
      </c>
      <c r="U66" t="e">
        <f ca="1">NT_DIST($Q66,U$5,$R$3,FALSE)</f>
        <v>#NAME?</v>
      </c>
    </row>
    <row r="67" spans="1:21" x14ac:dyDescent="0.25">
      <c r="A67">
        <f t="shared" si="0"/>
        <v>-4.100000000000021</v>
      </c>
      <c r="B67" t="e">
        <f ca="1">NT_DIST($A67,$B$3,B$5,FALSE)</f>
        <v>#NAME?</v>
      </c>
      <c r="C67" t="e">
        <f ca="1">NT_DIST($A67,$B$3,C$5,FALSE)</f>
        <v>#NAME?</v>
      </c>
      <c r="D67" t="e">
        <f ca="1">NT_DIST($A67,$B$3,D$5,FALSE)</f>
        <v>#NAME?</v>
      </c>
      <c r="E67" t="e">
        <f ca="1">NT_DIST($A67,$B$3,E$5,FALSE)</f>
        <v>#NAME?</v>
      </c>
      <c r="Q67">
        <f t="shared" si="1"/>
        <v>-0.10000000000000459</v>
      </c>
      <c r="R67" t="e">
        <f ca="1">NT_DIST($Q67,R$5,$R$3,FALSE)</f>
        <v>#NAME?</v>
      </c>
      <c r="S67" t="e">
        <f ca="1">NT_DIST($Q67,S$5,$R$3,FALSE)</f>
        <v>#NAME?</v>
      </c>
      <c r="T67" t="e">
        <f ca="1">NT_DIST($Q67,T$5,$R$3,FALSE)</f>
        <v>#NAME?</v>
      </c>
      <c r="U67" t="e">
        <f ca="1">NT_DIST($Q67,U$5,$R$3,FALSE)</f>
        <v>#NAME?</v>
      </c>
    </row>
    <row r="68" spans="1:21" x14ac:dyDescent="0.25">
      <c r="A68">
        <f t="shared" si="0"/>
        <v>-4.0000000000000213</v>
      </c>
      <c r="B68" t="e">
        <f ca="1">NT_DIST($A68,$B$3,B$5,FALSE)</f>
        <v>#NAME?</v>
      </c>
      <c r="C68" t="e">
        <f ca="1">NT_DIST($A68,$B$3,C$5,FALSE)</f>
        <v>#NAME?</v>
      </c>
      <c r="D68" t="e">
        <f ca="1">NT_DIST($A68,$B$3,D$5,FALSE)</f>
        <v>#NAME?</v>
      </c>
      <c r="E68" t="e">
        <f ca="1">NT_DIST($A68,$B$3,E$5,FALSE)</f>
        <v>#NAME?</v>
      </c>
      <c r="Q68">
        <f t="shared" si="1"/>
        <v>-4.5796699765787707E-15</v>
      </c>
      <c r="R68" t="e">
        <f ca="1">NT_DIST($Q68,R$5,$R$3,FALSE)</f>
        <v>#NAME?</v>
      </c>
      <c r="S68" t="e">
        <f ca="1">NT_DIST($Q68,S$5,$R$3,FALSE)</f>
        <v>#NAME?</v>
      </c>
      <c r="T68" t="e">
        <f ca="1">NT_DIST($Q68,T$5,$R$3,FALSE)</f>
        <v>#NAME?</v>
      </c>
      <c r="U68" t="e">
        <f ca="1">NT_DIST($Q68,U$5,$R$3,FALSE)</f>
        <v>#NAME?</v>
      </c>
    </row>
    <row r="69" spans="1:21" x14ac:dyDescent="0.25">
      <c r="A69">
        <f t="shared" si="0"/>
        <v>-3.9000000000000212</v>
      </c>
      <c r="B69" t="e">
        <f ca="1">NT_DIST($A69,$B$3,B$5,FALSE)</f>
        <v>#NAME?</v>
      </c>
      <c r="C69" t="e">
        <f ca="1">NT_DIST($A69,$B$3,C$5,FALSE)</f>
        <v>#NAME?</v>
      </c>
      <c r="D69" t="e">
        <f ca="1">NT_DIST($A69,$B$3,D$5,FALSE)</f>
        <v>#NAME?</v>
      </c>
      <c r="E69" t="e">
        <f ca="1">NT_DIST($A69,$B$3,E$5,FALSE)</f>
        <v>#NAME?</v>
      </c>
      <c r="Q69">
        <f t="shared" si="1"/>
        <v>9.9999999999995426E-2</v>
      </c>
      <c r="R69" t="e">
        <f ca="1">NT_DIST($Q69,R$5,$R$3,FALSE)</f>
        <v>#NAME?</v>
      </c>
      <c r="S69" t="e">
        <f ca="1">NT_DIST($Q69,S$5,$R$3,FALSE)</f>
        <v>#NAME?</v>
      </c>
      <c r="T69" t="e">
        <f ca="1">NT_DIST($Q69,T$5,$R$3,FALSE)</f>
        <v>#NAME?</v>
      </c>
      <c r="U69" t="e">
        <f ca="1">NT_DIST($Q69,U$5,$R$3,FALSE)</f>
        <v>#NAME?</v>
      </c>
    </row>
    <row r="70" spans="1:21" x14ac:dyDescent="0.25">
      <c r="A70">
        <f t="shared" si="0"/>
        <v>-3.8000000000000211</v>
      </c>
      <c r="B70" t="e">
        <f ca="1">NT_DIST($A70,$B$3,B$5,FALSE)</f>
        <v>#NAME?</v>
      </c>
      <c r="C70" t="e">
        <f ca="1">NT_DIST($A70,$B$3,C$5,FALSE)</f>
        <v>#NAME?</v>
      </c>
      <c r="D70" t="e">
        <f ca="1">NT_DIST($A70,$B$3,D$5,FALSE)</f>
        <v>#NAME?</v>
      </c>
      <c r="E70" t="e">
        <f ca="1">NT_DIST($A70,$B$3,E$5,FALSE)</f>
        <v>#NAME?</v>
      </c>
      <c r="Q70">
        <f t="shared" si="1"/>
        <v>0.19999999999999543</v>
      </c>
      <c r="R70" t="e">
        <f ca="1">NT_DIST($Q70,R$5,$R$3,FALSE)</f>
        <v>#NAME?</v>
      </c>
      <c r="S70" t="e">
        <f ca="1">NT_DIST($Q70,S$5,$R$3,FALSE)</f>
        <v>#NAME?</v>
      </c>
      <c r="T70" t="e">
        <f ca="1">NT_DIST($Q70,T$5,$R$3,FALSE)</f>
        <v>#NAME?</v>
      </c>
      <c r="U70" t="e">
        <f ca="1">NT_DIST($Q70,U$5,$R$3,FALSE)</f>
        <v>#NAME?</v>
      </c>
    </row>
    <row r="71" spans="1:21" x14ac:dyDescent="0.25">
      <c r="A71">
        <f t="shared" si="0"/>
        <v>-3.700000000000021</v>
      </c>
      <c r="B71" t="e">
        <f ca="1">NT_DIST($A71,$B$3,B$5,FALSE)</f>
        <v>#NAME?</v>
      </c>
      <c r="C71" t="e">
        <f ca="1">NT_DIST($A71,$B$3,C$5,FALSE)</f>
        <v>#NAME?</v>
      </c>
      <c r="D71" t="e">
        <f ca="1">NT_DIST($A71,$B$3,D$5,FALSE)</f>
        <v>#NAME?</v>
      </c>
      <c r="E71" t="e">
        <f ca="1">NT_DIST($A71,$B$3,E$5,FALSE)</f>
        <v>#NAME?</v>
      </c>
      <c r="Q71">
        <f t="shared" si="1"/>
        <v>0.29999999999999544</v>
      </c>
      <c r="R71" t="e">
        <f ca="1">NT_DIST($Q71,R$5,$R$3,FALSE)</f>
        <v>#NAME?</v>
      </c>
      <c r="S71" t="e">
        <f ca="1">NT_DIST($Q71,S$5,$R$3,FALSE)</f>
        <v>#NAME?</v>
      </c>
      <c r="T71" t="e">
        <f ca="1">NT_DIST($Q71,T$5,$R$3,FALSE)</f>
        <v>#NAME?</v>
      </c>
      <c r="U71" t="e">
        <f ca="1">NT_DIST($Q71,U$5,$R$3,FALSE)</f>
        <v>#NAME?</v>
      </c>
    </row>
    <row r="72" spans="1:21" x14ac:dyDescent="0.25">
      <c r="A72">
        <f t="shared" si="0"/>
        <v>-3.600000000000021</v>
      </c>
      <c r="B72" t="e">
        <f ca="1">NT_DIST($A72,$B$3,B$5,FALSE)</f>
        <v>#NAME?</v>
      </c>
      <c r="C72" t="e">
        <f ca="1">NT_DIST($A72,$B$3,C$5,FALSE)</f>
        <v>#NAME?</v>
      </c>
      <c r="D72" t="e">
        <f ca="1">NT_DIST($A72,$B$3,D$5,FALSE)</f>
        <v>#NAME?</v>
      </c>
      <c r="E72" t="e">
        <f ca="1">NT_DIST($A72,$B$3,E$5,FALSE)</f>
        <v>#NAME?</v>
      </c>
      <c r="Q72">
        <f t="shared" si="1"/>
        <v>0.39999999999999547</v>
      </c>
      <c r="R72" t="e">
        <f ca="1">NT_DIST($Q72,R$5,$R$3,FALSE)</f>
        <v>#NAME?</v>
      </c>
      <c r="S72" t="e">
        <f ca="1">NT_DIST($Q72,S$5,$R$3,FALSE)</f>
        <v>#NAME?</v>
      </c>
      <c r="T72" t="e">
        <f ca="1">NT_DIST($Q72,T$5,$R$3,FALSE)</f>
        <v>#NAME?</v>
      </c>
      <c r="U72" t="e">
        <f ca="1">NT_DIST($Q72,U$5,$R$3,FALSE)</f>
        <v>#NAME?</v>
      </c>
    </row>
    <row r="73" spans="1:21" x14ac:dyDescent="0.25">
      <c r="A73">
        <f t="shared" si="0"/>
        <v>-3.5000000000000209</v>
      </c>
      <c r="B73" t="e">
        <f ca="1">NT_DIST($A73,$B$3,B$5,FALSE)</f>
        <v>#NAME?</v>
      </c>
      <c r="C73" t="e">
        <f ca="1">NT_DIST($A73,$B$3,C$5,FALSE)</f>
        <v>#NAME?</v>
      </c>
      <c r="D73" t="e">
        <f ca="1">NT_DIST($A73,$B$3,D$5,FALSE)</f>
        <v>#NAME?</v>
      </c>
      <c r="E73" t="e">
        <f ca="1">NT_DIST($A73,$B$3,E$5,FALSE)</f>
        <v>#NAME?</v>
      </c>
      <c r="Q73">
        <f t="shared" si="1"/>
        <v>0.49999999999999545</v>
      </c>
      <c r="R73" t="e">
        <f ca="1">NT_DIST($Q73,R$5,$R$3,FALSE)</f>
        <v>#NAME?</v>
      </c>
      <c r="S73" t="e">
        <f ca="1">NT_DIST($Q73,S$5,$R$3,FALSE)</f>
        <v>#NAME?</v>
      </c>
      <c r="T73" t="e">
        <f ca="1">NT_DIST($Q73,T$5,$R$3,FALSE)</f>
        <v>#NAME?</v>
      </c>
      <c r="U73" t="e">
        <f ca="1">NT_DIST($Q73,U$5,$R$3,FALSE)</f>
        <v>#NAME?</v>
      </c>
    </row>
    <row r="74" spans="1:21" x14ac:dyDescent="0.25">
      <c r="A74">
        <f t="shared" ref="A74:A137" si="2">A73+0.1</f>
        <v>-3.4000000000000208</v>
      </c>
      <c r="B74" t="e">
        <f ca="1">NT_DIST($A74,$B$3,B$5,FALSE)</f>
        <v>#NAME?</v>
      </c>
      <c r="C74" t="e">
        <f ca="1">NT_DIST($A74,$B$3,C$5,FALSE)</f>
        <v>#NAME?</v>
      </c>
      <c r="D74" t="e">
        <f ca="1">NT_DIST($A74,$B$3,D$5,FALSE)</f>
        <v>#NAME?</v>
      </c>
      <c r="E74" t="e">
        <f ca="1">NT_DIST($A74,$B$3,E$5,FALSE)</f>
        <v>#NAME?</v>
      </c>
      <c r="Q74">
        <f t="shared" ref="Q74:Q137" si="3">Q73+0.1</f>
        <v>0.59999999999999543</v>
      </c>
      <c r="R74" t="e">
        <f ca="1">NT_DIST($Q74,R$5,$R$3,FALSE)</f>
        <v>#NAME?</v>
      </c>
      <c r="S74" t="e">
        <f ca="1">NT_DIST($Q74,S$5,$R$3,FALSE)</f>
        <v>#NAME?</v>
      </c>
      <c r="T74" t="e">
        <f ca="1">NT_DIST($Q74,T$5,$R$3,FALSE)</f>
        <v>#NAME?</v>
      </c>
      <c r="U74" t="e">
        <f ca="1">NT_DIST($Q74,U$5,$R$3,FALSE)</f>
        <v>#NAME?</v>
      </c>
    </row>
    <row r="75" spans="1:21" x14ac:dyDescent="0.25">
      <c r="A75">
        <f t="shared" si="2"/>
        <v>-3.3000000000000207</v>
      </c>
      <c r="B75" t="e">
        <f ca="1">NT_DIST($A75,$B$3,B$5,FALSE)</f>
        <v>#NAME?</v>
      </c>
      <c r="C75" t="e">
        <f ca="1">NT_DIST($A75,$B$3,C$5,FALSE)</f>
        <v>#NAME?</v>
      </c>
      <c r="D75" t="e">
        <f ca="1">NT_DIST($A75,$B$3,D$5,FALSE)</f>
        <v>#NAME?</v>
      </c>
      <c r="E75" t="e">
        <f ca="1">NT_DIST($A75,$B$3,E$5,FALSE)</f>
        <v>#NAME?</v>
      </c>
      <c r="Q75">
        <f t="shared" si="3"/>
        <v>0.6999999999999954</v>
      </c>
      <c r="R75" t="e">
        <f ca="1">NT_DIST($Q75,R$5,$R$3,FALSE)</f>
        <v>#NAME?</v>
      </c>
      <c r="S75" t="e">
        <f ca="1">NT_DIST($Q75,S$5,$R$3,FALSE)</f>
        <v>#NAME?</v>
      </c>
      <c r="T75" t="e">
        <f ca="1">NT_DIST($Q75,T$5,$R$3,FALSE)</f>
        <v>#NAME?</v>
      </c>
      <c r="U75" t="e">
        <f ca="1">NT_DIST($Q75,U$5,$R$3,FALSE)</f>
        <v>#NAME?</v>
      </c>
    </row>
    <row r="76" spans="1:21" x14ac:dyDescent="0.25">
      <c r="A76">
        <f t="shared" si="2"/>
        <v>-3.2000000000000206</v>
      </c>
      <c r="B76" t="e">
        <f ca="1">NT_DIST($A76,$B$3,B$5,FALSE)</f>
        <v>#NAME?</v>
      </c>
      <c r="C76" t="e">
        <f ca="1">NT_DIST($A76,$B$3,C$5,FALSE)</f>
        <v>#NAME?</v>
      </c>
      <c r="D76" t="e">
        <f ca="1">NT_DIST($A76,$B$3,D$5,FALSE)</f>
        <v>#NAME?</v>
      </c>
      <c r="E76" t="e">
        <f ca="1">NT_DIST($A76,$B$3,E$5,FALSE)</f>
        <v>#NAME?</v>
      </c>
      <c r="Q76">
        <f t="shared" si="3"/>
        <v>0.79999999999999538</v>
      </c>
      <c r="R76" t="e">
        <f ca="1">NT_DIST($Q76,R$5,$R$3,FALSE)</f>
        <v>#NAME?</v>
      </c>
      <c r="S76" t="e">
        <f ca="1">NT_DIST($Q76,S$5,$R$3,FALSE)</f>
        <v>#NAME?</v>
      </c>
      <c r="T76" t="e">
        <f ca="1">NT_DIST($Q76,T$5,$R$3,FALSE)</f>
        <v>#NAME?</v>
      </c>
      <c r="U76" t="e">
        <f ca="1">NT_DIST($Q76,U$5,$R$3,FALSE)</f>
        <v>#NAME?</v>
      </c>
    </row>
    <row r="77" spans="1:21" x14ac:dyDescent="0.25">
      <c r="A77">
        <f t="shared" si="2"/>
        <v>-3.1000000000000205</v>
      </c>
      <c r="B77" t="e">
        <f ca="1">NT_DIST($A77,$B$3,B$5,FALSE)</f>
        <v>#NAME?</v>
      </c>
      <c r="C77" t="e">
        <f ca="1">NT_DIST($A77,$B$3,C$5,FALSE)</f>
        <v>#NAME?</v>
      </c>
      <c r="D77" t="e">
        <f ca="1">NT_DIST($A77,$B$3,D$5,FALSE)</f>
        <v>#NAME?</v>
      </c>
      <c r="E77" t="e">
        <f ca="1">NT_DIST($A77,$B$3,E$5,FALSE)</f>
        <v>#NAME?</v>
      </c>
      <c r="Q77">
        <f t="shared" si="3"/>
        <v>0.89999999999999536</v>
      </c>
      <c r="R77" t="e">
        <f ca="1">NT_DIST($Q77,R$5,$R$3,FALSE)</f>
        <v>#NAME?</v>
      </c>
      <c r="S77" t="e">
        <f ca="1">NT_DIST($Q77,S$5,$R$3,FALSE)</f>
        <v>#NAME?</v>
      </c>
      <c r="T77" t="e">
        <f ca="1">NT_DIST($Q77,T$5,$R$3,FALSE)</f>
        <v>#NAME?</v>
      </c>
      <c r="U77" t="e">
        <f ca="1">NT_DIST($Q77,U$5,$R$3,FALSE)</f>
        <v>#NAME?</v>
      </c>
    </row>
    <row r="78" spans="1:21" x14ac:dyDescent="0.25">
      <c r="A78">
        <f t="shared" si="2"/>
        <v>-3.0000000000000204</v>
      </c>
      <c r="B78" t="e">
        <f ca="1">NT_DIST($A78,$B$3,B$5,FALSE)</f>
        <v>#NAME?</v>
      </c>
      <c r="C78" t="e">
        <f ca="1">NT_DIST($A78,$B$3,C$5,FALSE)</f>
        <v>#NAME?</v>
      </c>
      <c r="D78" t="e">
        <f ca="1">NT_DIST($A78,$B$3,D$5,FALSE)</f>
        <v>#NAME?</v>
      </c>
      <c r="E78" t="e">
        <f ca="1">NT_DIST($A78,$B$3,E$5,FALSE)</f>
        <v>#NAME?</v>
      </c>
      <c r="Q78">
        <f t="shared" si="3"/>
        <v>0.99999999999999534</v>
      </c>
      <c r="R78" t="e">
        <f ca="1">NT_DIST($Q78,R$5,$R$3,FALSE)</f>
        <v>#NAME?</v>
      </c>
      <c r="S78" t="e">
        <f ca="1">NT_DIST($Q78,S$5,$R$3,FALSE)</f>
        <v>#NAME?</v>
      </c>
      <c r="T78" t="e">
        <f ca="1">NT_DIST($Q78,T$5,$R$3,FALSE)</f>
        <v>#NAME?</v>
      </c>
      <c r="U78" t="e">
        <f ca="1">NT_DIST($Q78,U$5,$R$3,FALSE)</f>
        <v>#NAME?</v>
      </c>
    </row>
    <row r="79" spans="1:21" x14ac:dyDescent="0.25">
      <c r="A79">
        <f t="shared" si="2"/>
        <v>-2.9000000000000203</v>
      </c>
      <c r="B79" t="e">
        <f ca="1">NT_DIST($A79,$B$3,B$5,FALSE)</f>
        <v>#NAME?</v>
      </c>
      <c r="C79" t="e">
        <f ca="1">NT_DIST($A79,$B$3,C$5,FALSE)</f>
        <v>#NAME?</v>
      </c>
      <c r="D79" t="e">
        <f ca="1">NT_DIST($A79,$B$3,D$5,FALSE)</f>
        <v>#NAME?</v>
      </c>
      <c r="E79" t="e">
        <f ca="1">NT_DIST($A79,$B$3,E$5,FALSE)</f>
        <v>#NAME?</v>
      </c>
      <c r="Q79">
        <f t="shared" si="3"/>
        <v>1.0999999999999954</v>
      </c>
      <c r="R79" t="e">
        <f ca="1">NT_DIST($Q79,R$5,$R$3,FALSE)</f>
        <v>#NAME?</v>
      </c>
      <c r="S79" t="e">
        <f ca="1">NT_DIST($Q79,S$5,$R$3,FALSE)</f>
        <v>#NAME?</v>
      </c>
      <c r="T79" t="e">
        <f ca="1">NT_DIST($Q79,T$5,$R$3,FALSE)</f>
        <v>#NAME?</v>
      </c>
      <c r="U79" t="e">
        <f ca="1">NT_DIST($Q79,U$5,$R$3,FALSE)</f>
        <v>#NAME?</v>
      </c>
    </row>
    <row r="80" spans="1:21" x14ac:dyDescent="0.25">
      <c r="A80">
        <f t="shared" si="2"/>
        <v>-2.8000000000000203</v>
      </c>
      <c r="B80" t="e">
        <f ca="1">NT_DIST($A80,$B$3,B$5,FALSE)</f>
        <v>#NAME?</v>
      </c>
      <c r="C80" t="e">
        <f ca="1">NT_DIST($A80,$B$3,C$5,FALSE)</f>
        <v>#NAME?</v>
      </c>
      <c r="D80" t="e">
        <f ca="1">NT_DIST($A80,$B$3,D$5,FALSE)</f>
        <v>#NAME?</v>
      </c>
      <c r="E80" t="e">
        <f ca="1">NT_DIST($A80,$B$3,E$5,FALSE)</f>
        <v>#NAME?</v>
      </c>
      <c r="Q80">
        <f t="shared" si="3"/>
        <v>1.1999999999999955</v>
      </c>
      <c r="R80" t="e">
        <f ca="1">NT_DIST($Q80,R$5,$R$3,FALSE)</f>
        <v>#NAME?</v>
      </c>
      <c r="S80" t="e">
        <f ca="1">NT_DIST($Q80,S$5,$R$3,FALSE)</f>
        <v>#NAME?</v>
      </c>
      <c r="T80" t="e">
        <f ca="1">NT_DIST($Q80,T$5,$R$3,FALSE)</f>
        <v>#NAME?</v>
      </c>
      <c r="U80" t="e">
        <f ca="1">NT_DIST($Q80,U$5,$R$3,FALSE)</f>
        <v>#NAME?</v>
      </c>
    </row>
    <row r="81" spans="1:21" x14ac:dyDescent="0.25">
      <c r="A81">
        <f t="shared" si="2"/>
        <v>-2.7000000000000202</v>
      </c>
      <c r="B81" t="e">
        <f ca="1">NT_DIST($A81,$B$3,B$5,FALSE)</f>
        <v>#NAME?</v>
      </c>
      <c r="C81" t="e">
        <f ca="1">NT_DIST($A81,$B$3,C$5,FALSE)</f>
        <v>#NAME?</v>
      </c>
      <c r="D81" t="e">
        <f ca="1">NT_DIST($A81,$B$3,D$5,FALSE)</f>
        <v>#NAME?</v>
      </c>
      <c r="E81" t="e">
        <f ca="1">NT_DIST($A81,$B$3,E$5,FALSE)</f>
        <v>#NAME?</v>
      </c>
      <c r="Q81">
        <f t="shared" si="3"/>
        <v>1.2999999999999956</v>
      </c>
      <c r="R81" t="e">
        <f ca="1">NT_DIST($Q81,R$5,$R$3,FALSE)</f>
        <v>#NAME?</v>
      </c>
      <c r="S81" t="e">
        <f ca="1">NT_DIST($Q81,S$5,$R$3,FALSE)</f>
        <v>#NAME?</v>
      </c>
      <c r="T81" t="e">
        <f ca="1">NT_DIST($Q81,T$5,$R$3,FALSE)</f>
        <v>#NAME?</v>
      </c>
      <c r="U81" t="e">
        <f ca="1">NT_DIST($Q81,U$5,$R$3,FALSE)</f>
        <v>#NAME?</v>
      </c>
    </row>
    <row r="82" spans="1:21" x14ac:dyDescent="0.25">
      <c r="A82">
        <f t="shared" si="2"/>
        <v>-2.6000000000000201</v>
      </c>
      <c r="B82" t="e">
        <f ca="1">NT_DIST($A82,$B$3,B$5,FALSE)</f>
        <v>#NAME?</v>
      </c>
      <c r="C82" t="e">
        <f ca="1">NT_DIST($A82,$B$3,C$5,FALSE)</f>
        <v>#NAME?</v>
      </c>
      <c r="D82" t="e">
        <f ca="1">NT_DIST($A82,$B$3,D$5,FALSE)</f>
        <v>#NAME?</v>
      </c>
      <c r="E82" t="e">
        <f ca="1">NT_DIST($A82,$B$3,E$5,FALSE)</f>
        <v>#NAME?</v>
      </c>
      <c r="Q82">
        <f t="shared" si="3"/>
        <v>1.3999999999999957</v>
      </c>
      <c r="R82" t="e">
        <f ca="1">NT_DIST($Q82,R$5,$R$3,FALSE)</f>
        <v>#NAME?</v>
      </c>
      <c r="S82" t="e">
        <f ca="1">NT_DIST($Q82,S$5,$R$3,FALSE)</f>
        <v>#NAME?</v>
      </c>
      <c r="T82" t="e">
        <f ca="1">NT_DIST($Q82,T$5,$R$3,FALSE)</f>
        <v>#NAME?</v>
      </c>
      <c r="U82" t="e">
        <f ca="1">NT_DIST($Q82,U$5,$R$3,FALSE)</f>
        <v>#NAME?</v>
      </c>
    </row>
    <row r="83" spans="1:21" x14ac:dyDescent="0.25">
      <c r="A83">
        <f t="shared" si="2"/>
        <v>-2.50000000000002</v>
      </c>
      <c r="B83" t="e">
        <f ca="1">NT_DIST($A83,$B$3,B$5,FALSE)</f>
        <v>#NAME?</v>
      </c>
      <c r="C83" t="e">
        <f ca="1">NT_DIST($A83,$B$3,C$5,FALSE)</f>
        <v>#NAME?</v>
      </c>
      <c r="D83" t="e">
        <f ca="1">NT_DIST($A83,$B$3,D$5,FALSE)</f>
        <v>#NAME?</v>
      </c>
      <c r="E83" t="e">
        <f ca="1">NT_DIST($A83,$B$3,E$5,FALSE)</f>
        <v>#NAME?</v>
      </c>
      <c r="Q83">
        <f t="shared" si="3"/>
        <v>1.4999999999999958</v>
      </c>
      <c r="R83" t="e">
        <f ca="1">NT_DIST($Q83,R$5,$R$3,FALSE)</f>
        <v>#NAME?</v>
      </c>
      <c r="S83" t="e">
        <f ca="1">NT_DIST($Q83,S$5,$R$3,FALSE)</f>
        <v>#NAME?</v>
      </c>
      <c r="T83" t="e">
        <f ca="1">NT_DIST($Q83,T$5,$R$3,FALSE)</f>
        <v>#NAME?</v>
      </c>
      <c r="U83" t="e">
        <f ca="1">NT_DIST($Q83,U$5,$R$3,FALSE)</f>
        <v>#NAME?</v>
      </c>
    </row>
    <row r="84" spans="1:21" x14ac:dyDescent="0.25">
      <c r="A84">
        <f t="shared" si="2"/>
        <v>-2.4000000000000199</v>
      </c>
      <c r="B84" t="e">
        <f ca="1">NT_DIST($A84,$B$3,B$5,FALSE)</f>
        <v>#NAME?</v>
      </c>
      <c r="C84" t="e">
        <f ca="1">NT_DIST($A84,$B$3,C$5,FALSE)</f>
        <v>#NAME?</v>
      </c>
      <c r="D84" t="e">
        <f ca="1">NT_DIST($A84,$B$3,D$5,FALSE)</f>
        <v>#NAME?</v>
      </c>
      <c r="E84" t="e">
        <f ca="1">NT_DIST($A84,$B$3,E$5,FALSE)</f>
        <v>#NAME?</v>
      </c>
      <c r="Q84">
        <f t="shared" si="3"/>
        <v>1.5999999999999959</v>
      </c>
      <c r="R84" t="e">
        <f ca="1">NT_DIST($Q84,R$5,$R$3,FALSE)</f>
        <v>#NAME?</v>
      </c>
      <c r="S84" t="e">
        <f ca="1">NT_DIST($Q84,S$5,$R$3,FALSE)</f>
        <v>#NAME?</v>
      </c>
      <c r="T84" t="e">
        <f ca="1">NT_DIST($Q84,T$5,$R$3,FALSE)</f>
        <v>#NAME?</v>
      </c>
      <c r="U84" t="e">
        <f ca="1">NT_DIST($Q84,U$5,$R$3,FALSE)</f>
        <v>#NAME?</v>
      </c>
    </row>
    <row r="85" spans="1:21" x14ac:dyDescent="0.25">
      <c r="A85">
        <f t="shared" si="2"/>
        <v>-2.3000000000000198</v>
      </c>
      <c r="B85" t="e">
        <f ca="1">NT_DIST($A85,$B$3,B$5,FALSE)</f>
        <v>#NAME?</v>
      </c>
      <c r="C85" t="e">
        <f ca="1">NT_DIST($A85,$B$3,C$5,FALSE)</f>
        <v>#NAME?</v>
      </c>
      <c r="D85" t="e">
        <f ca="1">NT_DIST($A85,$B$3,D$5,FALSE)</f>
        <v>#NAME?</v>
      </c>
      <c r="E85" t="e">
        <f ca="1">NT_DIST($A85,$B$3,E$5,FALSE)</f>
        <v>#NAME?</v>
      </c>
      <c r="Q85">
        <f t="shared" si="3"/>
        <v>1.699999999999996</v>
      </c>
      <c r="R85" t="e">
        <f ca="1">NT_DIST($Q85,R$5,$R$3,FALSE)</f>
        <v>#NAME?</v>
      </c>
      <c r="S85" t="e">
        <f ca="1">NT_DIST($Q85,S$5,$R$3,FALSE)</f>
        <v>#NAME?</v>
      </c>
      <c r="T85" t="e">
        <f ca="1">NT_DIST($Q85,T$5,$R$3,FALSE)</f>
        <v>#NAME?</v>
      </c>
      <c r="U85" t="e">
        <f ca="1">NT_DIST($Q85,U$5,$R$3,FALSE)</f>
        <v>#NAME?</v>
      </c>
    </row>
    <row r="86" spans="1:21" x14ac:dyDescent="0.25">
      <c r="A86">
        <f t="shared" si="2"/>
        <v>-2.2000000000000197</v>
      </c>
      <c r="B86" t="e">
        <f ca="1">NT_DIST($A86,$B$3,B$5,FALSE)</f>
        <v>#NAME?</v>
      </c>
      <c r="C86" t="e">
        <f ca="1">NT_DIST($A86,$B$3,C$5,FALSE)</f>
        <v>#NAME?</v>
      </c>
      <c r="D86" t="e">
        <f ca="1">NT_DIST($A86,$B$3,D$5,FALSE)</f>
        <v>#NAME?</v>
      </c>
      <c r="E86" t="e">
        <f ca="1">NT_DIST($A86,$B$3,E$5,FALSE)</f>
        <v>#NAME?</v>
      </c>
      <c r="Q86">
        <f t="shared" si="3"/>
        <v>1.799999999999996</v>
      </c>
      <c r="R86" t="e">
        <f ca="1">NT_DIST($Q86,R$5,$R$3,FALSE)</f>
        <v>#NAME?</v>
      </c>
      <c r="S86" t="e">
        <f ca="1">NT_DIST($Q86,S$5,$R$3,FALSE)</f>
        <v>#NAME?</v>
      </c>
      <c r="T86" t="e">
        <f ca="1">NT_DIST($Q86,T$5,$R$3,FALSE)</f>
        <v>#NAME?</v>
      </c>
      <c r="U86" t="e">
        <f ca="1">NT_DIST($Q86,U$5,$R$3,FALSE)</f>
        <v>#NAME?</v>
      </c>
    </row>
    <row r="87" spans="1:21" x14ac:dyDescent="0.25">
      <c r="A87">
        <f t="shared" si="2"/>
        <v>-2.1000000000000196</v>
      </c>
      <c r="B87" t="e">
        <f ca="1">NT_DIST($A87,$B$3,B$5,FALSE)</f>
        <v>#NAME?</v>
      </c>
      <c r="C87" t="e">
        <f ca="1">NT_DIST($A87,$B$3,C$5,FALSE)</f>
        <v>#NAME?</v>
      </c>
      <c r="D87" t="e">
        <f ca="1">NT_DIST($A87,$B$3,D$5,FALSE)</f>
        <v>#NAME?</v>
      </c>
      <c r="E87" t="e">
        <f ca="1">NT_DIST($A87,$B$3,E$5,FALSE)</f>
        <v>#NAME?</v>
      </c>
      <c r="Q87">
        <f t="shared" si="3"/>
        <v>1.8999999999999961</v>
      </c>
      <c r="R87" t="e">
        <f ca="1">NT_DIST($Q87,R$5,$R$3,FALSE)</f>
        <v>#NAME?</v>
      </c>
      <c r="S87" t="e">
        <f ca="1">NT_DIST($Q87,S$5,$R$3,FALSE)</f>
        <v>#NAME?</v>
      </c>
      <c r="T87" t="e">
        <f ca="1">NT_DIST($Q87,T$5,$R$3,FALSE)</f>
        <v>#NAME?</v>
      </c>
      <c r="U87" t="e">
        <f ca="1">NT_DIST($Q87,U$5,$R$3,FALSE)</f>
        <v>#NAME?</v>
      </c>
    </row>
    <row r="88" spans="1:21" x14ac:dyDescent="0.25">
      <c r="A88">
        <f t="shared" si="2"/>
        <v>-2.0000000000000195</v>
      </c>
      <c r="B88" t="e">
        <f ca="1">NT_DIST($A88,$B$3,B$5,FALSE)</f>
        <v>#NAME?</v>
      </c>
      <c r="C88" t="e">
        <f ca="1">NT_DIST($A88,$B$3,C$5,FALSE)</f>
        <v>#NAME?</v>
      </c>
      <c r="D88" t="e">
        <f ca="1">NT_DIST($A88,$B$3,D$5,FALSE)</f>
        <v>#NAME?</v>
      </c>
      <c r="E88" t="e">
        <f ca="1">NT_DIST($A88,$B$3,E$5,FALSE)</f>
        <v>#NAME?</v>
      </c>
      <c r="Q88">
        <f t="shared" si="3"/>
        <v>1.9999999999999962</v>
      </c>
      <c r="R88" t="e">
        <f ca="1">NT_DIST($Q88,R$5,$R$3,FALSE)</f>
        <v>#NAME?</v>
      </c>
      <c r="S88" t="e">
        <f ca="1">NT_DIST($Q88,S$5,$R$3,FALSE)</f>
        <v>#NAME?</v>
      </c>
      <c r="T88" t="e">
        <f ca="1">NT_DIST($Q88,T$5,$R$3,FALSE)</f>
        <v>#NAME?</v>
      </c>
      <c r="U88" t="e">
        <f ca="1">NT_DIST($Q88,U$5,$R$3,FALSE)</f>
        <v>#NAME?</v>
      </c>
    </row>
    <row r="89" spans="1:21" x14ac:dyDescent="0.25">
      <c r="A89">
        <f t="shared" si="2"/>
        <v>-1.9000000000000195</v>
      </c>
      <c r="B89" t="e">
        <f ca="1">NT_DIST($A89,$B$3,B$5,FALSE)</f>
        <v>#NAME?</v>
      </c>
      <c r="C89" t="e">
        <f ca="1">NT_DIST($A89,$B$3,C$5,FALSE)</f>
        <v>#NAME?</v>
      </c>
      <c r="D89" t="e">
        <f ca="1">NT_DIST($A89,$B$3,D$5,FALSE)</f>
        <v>#NAME?</v>
      </c>
      <c r="E89" t="e">
        <f ca="1">NT_DIST($A89,$B$3,E$5,FALSE)</f>
        <v>#NAME?</v>
      </c>
      <c r="Q89">
        <f t="shared" si="3"/>
        <v>2.0999999999999961</v>
      </c>
      <c r="R89" t="e">
        <f ca="1">NT_DIST($Q89,R$5,$R$3,FALSE)</f>
        <v>#NAME?</v>
      </c>
      <c r="S89" t="e">
        <f ca="1">NT_DIST($Q89,S$5,$R$3,FALSE)</f>
        <v>#NAME?</v>
      </c>
      <c r="T89" t="e">
        <f ca="1">NT_DIST($Q89,T$5,$R$3,FALSE)</f>
        <v>#NAME?</v>
      </c>
      <c r="U89" t="e">
        <f ca="1">NT_DIST($Q89,U$5,$R$3,FALSE)</f>
        <v>#NAME?</v>
      </c>
    </row>
    <row r="90" spans="1:21" x14ac:dyDescent="0.25">
      <c r="A90">
        <f t="shared" si="2"/>
        <v>-1.8000000000000194</v>
      </c>
      <c r="B90" t="e">
        <f ca="1">NT_DIST($A90,$B$3,B$5,FALSE)</f>
        <v>#NAME?</v>
      </c>
      <c r="C90" t="e">
        <f ca="1">NT_DIST($A90,$B$3,C$5,FALSE)</f>
        <v>#NAME?</v>
      </c>
      <c r="D90" t="e">
        <f ca="1">NT_DIST($A90,$B$3,D$5,FALSE)</f>
        <v>#NAME?</v>
      </c>
      <c r="E90" t="e">
        <f ca="1">NT_DIST($A90,$B$3,E$5,FALSE)</f>
        <v>#NAME?</v>
      </c>
      <c r="Q90">
        <f t="shared" si="3"/>
        <v>2.1999999999999962</v>
      </c>
      <c r="R90" t="e">
        <f ca="1">NT_DIST($Q90,R$5,$R$3,FALSE)</f>
        <v>#NAME?</v>
      </c>
      <c r="S90" t="e">
        <f ca="1">NT_DIST($Q90,S$5,$R$3,FALSE)</f>
        <v>#NAME?</v>
      </c>
      <c r="T90" t="e">
        <f ca="1">NT_DIST($Q90,T$5,$R$3,FALSE)</f>
        <v>#NAME?</v>
      </c>
      <c r="U90" t="e">
        <f ca="1">NT_DIST($Q90,U$5,$R$3,FALSE)</f>
        <v>#NAME?</v>
      </c>
    </row>
    <row r="91" spans="1:21" x14ac:dyDescent="0.25">
      <c r="A91">
        <f t="shared" si="2"/>
        <v>-1.7000000000000193</v>
      </c>
      <c r="B91" t="e">
        <f ca="1">NT_DIST($A91,$B$3,B$5,FALSE)</f>
        <v>#NAME?</v>
      </c>
      <c r="C91" t="e">
        <f ca="1">NT_DIST($A91,$B$3,C$5,FALSE)</f>
        <v>#NAME?</v>
      </c>
      <c r="D91" t="e">
        <f ca="1">NT_DIST($A91,$B$3,D$5,FALSE)</f>
        <v>#NAME?</v>
      </c>
      <c r="E91" t="e">
        <f ca="1">NT_DIST($A91,$B$3,E$5,FALSE)</f>
        <v>#NAME?</v>
      </c>
      <c r="Q91">
        <f t="shared" si="3"/>
        <v>2.2999999999999963</v>
      </c>
      <c r="R91" t="e">
        <f ca="1">NT_DIST($Q91,R$5,$R$3,FALSE)</f>
        <v>#NAME?</v>
      </c>
      <c r="S91" t="e">
        <f ca="1">NT_DIST($Q91,S$5,$R$3,FALSE)</f>
        <v>#NAME?</v>
      </c>
      <c r="T91" t="e">
        <f ca="1">NT_DIST($Q91,T$5,$R$3,FALSE)</f>
        <v>#NAME?</v>
      </c>
      <c r="U91" t="e">
        <f ca="1">NT_DIST($Q91,U$5,$R$3,FALSE)</f>
        <v>#NAME?</v>
      </c>
    </row>
    <row r="92" spans="1:21" x14ac:dyDescent="0.25">
      <c r="A92">
        <f t="shared" si="2"/>
        <v>-1.6000000000000192</v>
      </c>
      <c r="B92" t="e">
        <f ca="1">NT_DIST($A92,$B$3,B$5,FALSE)</f>
        <v>#NAME?</v>
      </c>
      <c r="C92" t="e">
        <f ca="1">NT_DIST($A92,$B$3,C$5,FALSE)</f>
        <v>#NAME?</v>
      </c>
      <c r="D92" t="e">
        <f ca="1">NT_DIST($A92,$B$3,D$5,FALSE)</f>
        <v>#NAME?</v>
      </c>
      <c r="E92" t="e">
        <f ca="1">NT_DIST($A92,$B$3,E$5,FALSE)</f>
        <v>#NAME?</v>
      </c>
      <c r="Q92">
        <f t="shared" si="3"/>
        <v>2.3999999999999964</v>
      </c>
      <c r="R92" t="e">
        <f ca="1">NT_DIST($Q92,R$5,$R$3,FALSE)</f>
        <v>#NAME?</v>
      </c>
      <c r="S92" t="e">
        <f ca="1">NT_DIST($Q92,S$5,$R$3,FALSE)</f>
        <v>#NAME?</v>
      </c>
      <c r="T92" t="e">
        <f ca="1">NT_DIST($Q92,T$5,$R$3,FALSE)</f>
        <v>#NAME?</v>
      </c>
      <c r="U92" t="e">
        <f ca="1">NT_DIST($Q92,U$5,$R$3,FALSE)</f>
        <v>#NAME?</v>
      </c>
    </row>
    <row r="93" spans="1:21" x14ac:dyDescent="0.25">
      <c r="A93">
        <f t="shared" si="2"/>
        <v>-1.5000000000000191</v>
      </c>
      <c r="B93" t="e">
        <f ca="1">NT_DIST($A93,$B$3,B$5,FALSE)</f>
        <v>#NAME?</v>
      </c>
      <c r="C93" t="e">
        <f ca="1">NT_DIST($A93,$B$3,C$5,FALSE)</f>
        <v>#NAME?</v>
      </c>
      <c r="D93" t="e">
        <f ca="1">NT_DIST($A93,$B$3,D$5,FALSE)</f>
        <v>#NAME?</v>
      </c>
      <c r="E93" t="e">
        <f ca="1">NT_DIST($A93,$B$3,E$5,FALSE)</f>
        <v>#NAME?</v>
      </c>
      <c r="Q93">
        <f t="shared" si="3"/>
        <v>2.4999999999999964</v>
      </c>
      <c r="R93" t="e">
        <f ca="1">NT_DIST($Q93,R$5,$R$3,FALSE)</f>
        <v>#NAME?</v>
      </c>
      <c r="S93" t="e">
        <f ca="1">NT_DIST($Q93,S$5,$R$3,FALSE)</f>
        <v>#NAME?</v>
      </c>
      <c r="T93" t="e">
        <f ca="1">NT_DIST($Q93,T$5,$R$3,FALSE)</f>
        <v>#NAME?</v>
      </c>
      <c r="U93" t="e">
        <f ca="1">NT_DIST($Q93,U$5,$R$3,FALSE)</f>
        <v>#NAME?</v>
      </c>
    </row>
    <row r="94" spans="1:21" x14ac:dyDescent="0.25">
      <c r="A94">
        <f t="shared" si="2"/>
        <v>-1.400000000000019</v>
      </c>
      <c r="B94" t="e">
        <f ca="1">NT_DIST($A94,$B$3,B$5,FALSE)</f>
        <v>#NAME?</v>
      </c>
      <c r="C94" t="e">
        <f ca="1">NT_DIST($A94,$B$3,C$5,FALSE)</f>
        <v>#NAME?</v>
      </c>
      <c r="D94" t="e">
        <f ca="1">NT_DIST($A94,$B$3,D$5,FALSE)</f>
        <v>#NAME?</v>
      </c>
      <c r="E94" t="e">
        <f ca="1">NT_DIST($A94,$B$3,E$5,FALSE)</f>
        <v>#NAME?</v>
      </c>
      <c r="Q94">
        <f t="shared" si="3"/>
        <v>2.5999999999999965</v>
      </c>
      <c r="R94" t="e">
        <f ca="1">NT_DIST($Q94,R$5,$R$3,FALSE)</f>
        <v>#NAME?</v>
      </c>
      <c r="S94" t="e">
        <f ca="1">NT_DIST($Q94,S$5,$R$3,FALSE)</f>
        <v>#NAME?</v>
      </c>
      <c r="T94" t="e">
        <f ca="1">NT_DIST($Q94,T$5,$R$3,FALSE)</f>
        <v>#NAME?</v>
      </c>
      <c r="U94" t="e">
        <f ca="1">NT_DIST($Q94,U$5,$R$3,FALSE)</f>
        <v>#NAME?</v>
      </c>
    </row>
    <row r="95" spans="1:21" x14ac:dyDescent="0.25">
      <c r="A95">
        <f t="shared" si="2"/>
        <v>-1.3000000000000189</v>
      </c>
      <c r="B95" t="e">
        <f ca="1">NT_DIST($A95,$B$3,B$5,FALSE)</f>
        <v>#NAME?</v>
      </c>
      <c r="C95" t="e">
        <f ca="1">NT_DIST($A95,$B$3,C$5,FALSE)</f>
        <v>#NAME?</v>
      </c>
      <c r="D95" t="e">
        <f ca="1">NT_DIST($A95,$B$3,D$5,FALSE)</f>
        <v>#NAME?</v>
      </c>
      <c r="E95" t="e">
        <f ca="1">NT_DIST($A95,$B$3,E$5,FALSE)</f>
        <v>#NAME?</v>
      </c>
      <c r="Q95">
        <f t="shared" si="3"/>
        <v>2.6999999999999966</v>
      </c>
      <c r="R95" t="e">
        <f ca="1">NT_DIST($Q95,R$5,$R$3,FALSE)</f>
        <v>#NAME?</v>
      </c>
      <c r="S95" t="e">
        <f ca="1">NT_DIST($Q95,S$5,$R$3,FALSE)</f>
        <v>#NAME?</v>
      </c>
      <c r="T95" t="e">
        <f ca="1">NT_DIST($Q95,T$5,$R$3,FALSE)</f>
        <v>#NAME?</v>
      </c>
      <c r="U95" t="e">
        <f ca="1">NT_DIST($Q95,U$5,$R$3,FALSE)</f>
        <v>#NAME?</v>
      </c>
    </row>
    <row r="96" spans="1:21" x14ac:dyDescent="0.25">
      <c r="A96">
        <f t="shared" si="2"/>
        <v>-1.2000000000000188</v>
      </c>
      <c r="B96" t="e">
        <f ca="1">NT_DIST($A96,$B$3,B$5,FALSE)</f>
        <v>#NAME?</v>
      </c>
      <c r="C96" t="e">
        <f ca="1">NT_DIST($A96,$B$3,C$5,FALSE)</f>
        <v>#NAME?</v>
      </c>
      <c r="D96" t="e">
        <f ca="1">NT_DIST($A96,$B$3,D$5,FALSE)</f>
        <v>#NAME?</v>
      </c>
      <c r="E96" t="e">
        <f ca="1">NT_DIST($A96,$B$3,E$5,FALSE)</f>
        <v>#NAME?</v>
      </c>
      <c r="Q96">
        <f t="shared" si="3"/>
        <v>2.7999999999999967</v>
      </c>
      <c r="R96" t="e">
        <f ca="1">NT_DIST($Q96,R$5,$R$3,FALSE)</f>
        <v>#NAME?</v>
      </c>
      <c r="S96" t="e">
        <f ca="1">NT_DIST($Q96,S$5,$R$3,FALSE)</f>
        <v>#NAME?</v>
      </c>
      <c r="T96" t="e">
        <f ca="1">NT_DIST($Q96,T$5,$R$3,FALSE)</f>
        <v>#NAME?</v>
      </c>
      <c r="U96" t="e">
        <f ca="1">NT_DIST($Q96,U$5,$R$3,FALSE)</f>
        <v>#NAME?</v>
      </c>
    </row>
    <row r="97" spans="1:21" x14ac:dyDescent="0.25">
      <c r="A97">
        <f t="shared" si="2"/>
        <v>-1.1000000000000187</v>
      </c>
      <c r="B97" t="e">
        <f ca="1">NT_DIST($A97,$B$3,B$5,FALSE)</f>
        <v>#NAME?</v>
      </c>
      <c r="C97" t="e">
        <f ca="1">NT_DIST($A97,$B$3,C$5,FALSE)</f>
        <v>#NAME?</v>
      </c>
      <c r="D97" t="e">
        <f ca="1">NT_DIST($A97,$B$3,D$5,FALSE)</f>
        <v>#NAME?</v>
      </c>
      <c r="E97" t="e">
        <f ca="1">NT_DIST($A97,$B$3,E$5,FALSE)</f>
        <v>#NAME?</v>
      </c>
      <c r="Q97">
        <f t="shared" si="3"/>
        <v>2.8999999999999968</v>
      </c>
      <c r="R97" t="e">
        <f ca="1">NT_DIST($Q97,R$5,$R$3,FALSE)</f>
        <v>#NAME?</v>
      </c>
      <c r="S97" t="e">
        <f ca="1">NT_DIST($Q97,S$5,$R$3,FALSE)</f>
        <v>#NAME?</v>
      </c>
      <c r="T97" t="e">
        <f ca="1">NT_DIST($Q97,T$5,$R$3,FALSE)</f>
        <v>#NAME?</v>
      </c>
      <c r="U97" t="e">
        <f ca="1">NT_DIST($Q97,U$5,$R$3,FALSE)</f>
        <v>#NAME?</v>
      </c>
    </row>
    <row r="98" spans="1:21" x14ac:dyDescent="0.25">
      <c r="A98">
        <f t="shared" si="2"/>
        <v>-1.0000000000000187</v>
      </c>
      <c r="B98" t="e">
        <f ca="1">NT_DIST($A98,$B$3,B$5,FALSE)</f>
        <v>#NAME?</v>
      </c>
      <c r="C98" t="e">
        <f ca="1">NT_DIST($A98,$B$3,C$5,FALSE)</f>
        <v>#NAME?</v>
      </c>
      <c r="D98" t="e">
        <f ca="1">NT_DIST($A98,$B$3,D$5,FALSE)</f>
        <v>#NAME?</v>
      </c>
      <c r="E98" t="e">
        <f ca="1">NT_DIST($A98,$B$3,E$5,FALSE)</f>
        <v>#NAME?</v>
      </c>
      <c r="Q98">
        <f t="shared" si="3"/>
        <v>2.9999999999999969</v>
      </c>
      <c r="R98" t="e">
        <f ca="1">NT_DIST($Q98,R$5,$R$3,FALSE)</f>
        <v>#NAME?</v>
      </c>
      <c r="S98" t="e">
        <f ca="1">NT_DIST($Q98,S$5,$R$3,FALSE)</f>
        <v>#NAME?</v>
      </c>
      <c r="T98" t="e">
        <f ca="1">NT_DIST($Q98,T$5,$R$3,FALSE)</f>
        <v>#NAME?</v>
      </c>
      <c r="U98" t="e">
        <f ca="1">NT_DIST($Q98,U$5,$R$3,FALSE)</f>
        <v>#NAME?</v>
      </c>
    </row>
    <row r="99" spans="1:21" x14ac:dyDescent="0.25">
      <c r="A99">
        <f t="shared" si="2"/>
        <v>-0.90000000000001867</v>
      </c>
      <c r="B99" t="e">
        <f ca="1">NT_DIST($A99,$B$3,B$5,FALSE)</f>
        <v>#NAME?</v>
      </c>
      <c r="C99" t="e">
        <f ca="1">NT_DIST($A99,$B$3,C$5,FALSE)</f>
        <v>#NAME?</v>
      </c>
      <c r="D99" t="e">
        <f ca="1">NT_DIST($A99,$B$3,D$5,FALSE)</f>
        <v>#NAME?</v>
      </c>
      <c r="E99" t="e">
        <f ca="1">NT_DIST($A99,$B$3,E$5,FALSE)</f>
        <v>#NAME?</v>
      </c>
      <c r="Q99">
        <f t="shared" si="3"/>
        <v>3.099999999999997</v>
      </c>
      <c r="R99" t="e">
        <f ca="1">NT_DIST($Q99,R$5,$R$3,FALSE)</f>
        <v>#NAME?</v>
      </c>
      <c r="S99" t="e">
        <f ca="1">NT_DIST($Q99,S$5,$R$3,FALSE)</f>
        <v>#NAME?</v>
      </c>
      <c r="T99" t="e">
        <f ca="1">NT_DIST($Q99,T$5,$R$3,FALSE)</f>
        <v>#NAME?</v>
      </c>
      <c r="U99" t="e">
        <f ca="1">NT_DIST($Q99,U$5,$R$3,FALSE)</f>
        <v>#NAME?</v>
      </c>
    </row>
    <row r="100" spans="1:21" x14ac:dyDescent="0.25">
      <c r="A100">
        <f t="shared" si="2"/>
        <v>-0.8000000000000187</v>
      </c>
      <c r="B100" t="e">
        <f ca="1">NT_DIST($A100,$B$3,B$5,FALSE)</f>
        <v>#NAME?</v>
      </c>
      <c r="C100" t="e">
        <f ca="1">NT_DIST($A100,$B$3,C$5,FALSE)</f>
        <v>#NAME?</v>
      </c>
      <c r="D100" t="e">
        <f ca="1">NT_DIST($A100,$B$3,D$5,FALSE)</f>
        <v>#NAME?</v>
      </c>
      <c r="E100" t="e">
        <f ca="1">NT_DIST($A100,$B$3,E$5,FALSE)</f>
        <v>#NAME?</v>
      </c>
      <c r="Q100">
        <f t="shared" si="3"/>
        <v>3.1999999999999971</v>
      </c>
      <c r="R100" t="e">
        <f ca="1">NT_DIST($Q100,R$5,$R$3,FALSE)</f>
        <v>#NAME?</v>
      </c>
      <c r="S100" t="e">
        <f ca="1">NT_DIST($Q100,S$5,$R$3,FALSE)</f>
        <v>#NAME?</v>
      </c>
      <c r="T100" t="e">
        <f ca="1">NT_DIST($Q100,T$5,$R$3,FALSE)</f>
        <v>#NAME?</v>
      </c>
      <c r="U100" t="e">
        <f ca="1">NT_DIST($Q100,U$5,$R$3,FALSE)</f>
        <v>#NAME?</v>
      </c>
    </row>
    <row r="101" spans="1:21" x14ac:dyDescent="0.25">
      <c r="A101">
        <f t="shared" si="2"/>
        <v>-0.70000000000001872</v>
      </c>
      <c r="B101" t="e">
        <f ca="1">NT_DIST($A101,$B$3,B$5,FALSE)</f>
        <v>#NAME?</v>
      </c>
      <c r="C101" t="e">
        <f ca="1">NT_DIST($A101,$B$3,C$5,FALSE)</f>
        <v>#NAME?</v>
      </c>
      <c r="D101" t="e">
        <f ca="1">NT_DIST($A101,$B$3,D$5,FALSE)</f>
        <v>#NAME?</v>
      </c>
      <c r="E101" t="e">
        <f ca="1">NT_DIST($A101,$B$3,E$5,FALSE)</f>
        <v>#NAME?</v>
      </c>
      <c r="Q101">
        <f t="shared" si="3"/>
        <v>3.2999999999999972</v>
      </c>
      <c r="R101" t="e">
        <f ca="1">NT_DIST($Q101,R$5,$R$3,FALSE)</f>
        <v>#NAME?</v>
      </c>
      <c r="S101" t="e">
        <f ca="1">NT_DIST($Q101,S$5,$R$3,FALSE)</f>
        <v>#NAME?</v>
      </c>
      <c r="T101" t="e">
        <f ca="1">NT_DIST($Q101,T$5,$R$3,FALSE)</f>
        <v>#NAME?</v>
      </c>
      <c r="U101" t="e">
        <f ca="1">NT_DIST($Q101,U$5,$R$3,FALSE)</f>
        <v>#NAME?</v>
      </c>
    </row>
    <row r="102" spans="1:21" x14ac:dyDescent="0.25">
      <c r="A102">
        <f t="shared" si="2"/>
        <v>-0.60000000000001874</v>
      </c>
      <c r="B102" t="e">
        <f ca="1">NT_DIST($A102,$B$3,B$5,FALSE)</f>
        <v>#NAME?</v>
      </c>
      <c r="C102" t="e">
        <f ca="1">NT_DIST($A102,$B$3,C$5,FALSE)</f>
        <v>#NAME?</v>
      </c>
      <c r="D102" t="e">
        <f ca="1">NT_DIST($A102,$B$3,D$5,FALSE)</f>
        <v>#NAME?</v>
      </c>
      <c r="E102" t="e">
        <f ca="1">NT_DIST($A102,$B$3,E$5,FALSE)</f>
        <v>#NAME?</v>
      </c>
      <c r="Q102">
        <f t="shared" si="3"/>
        <v>3.3999999999999972</v>
      </c>
      <c r="R102" t="e">
        <f ca="1">NT_DIST($Q102,R$5,$R$3,FALSE)</f>
        <v>#NAME?</v>
      </c>
      <c r="S102" t="e">
        <f ca="1">NT_DIST($Q102,S$5,$R$3,FALSE)</f>
        <v>#NAME?</v>
      </c>
      <c r="T102" t="e">
        <f ca="1">NT_DIST($Q102,T$5,$R$3,FALSE)</f>
        <v>#NAME?</v>
      </c>
      <c r="U102" t="e">
        <f ca="1">NT_DIST($Q102,U$5,$R$3,FALSE)</f>
        <v>#NAME?</v>
      </c>
    </row>
    <row r="103" spans="1:21" x14ac:dyDescent="0.25">
      <c r="A103">
        <f t="shared" si="2"/>
        <v>-0.50000000000001876</v>
      </c>
      <c r="B103" t="e">
        <f ca="1">NT_DIST($A103,$B$3,B$5,FALSE)</f>
        <v>#NAME?</v>
      </c>
      <c r="C103" t="e">
        <f ca="1">NT_DIST($A103,$B$3,C$5,FALSE)</f>
        <v>#NAME?</v>
      </c>
      <c r="D103" t="e">
        <f ca="1">NT_DIST($A103,$B$3,D$5,FALSE)</f>
        <v>#NAME?</v>
      </c>
      <c r="E103" t="e">
        <f ca="1">NT_DIST($A103,$B$3,E$5,FALSE)</f>
        <v>#NAME?</v>
      </c>
      <c r="Q103">
        <f t="shared" si="3"/>
        <v>3.4999999999999973</v>
      </c>
      <c r="R103" t="e">
        <f ca="1">NT_DIST($Q103,R$5,$R$3,FALSE)</f>
        <v>#NAME?</v>
      </c>
      <c r="S103" t="e">
        <f ca="1">NT_DIST($Q103,S$5,$R$3,FALSE)</f>
        <v>#NAME?</v>
      </c>
      <c r="T103" t="e">
        <f ca="1">NT_DIST($Q103,T$5,$R$3,FALSE)</f>
        <v>#NAME?</v>
      </c>
      <c r="U103" t="e">
        <f ca="1">NT_DIST($Q103,U$5,$R$3,FALSE)</f>
        <v>#NAME?</v>
      </c>
    </row>
    <row r="104" spans="1:21" x14ac:dyDescent="0.25">
      <c r="A104">
        <f t="shared" si="2"/>
        <v>-0.40000000000001878</v>
      </c>
      <c r="B104" t="e">
        <f ca="1">NT_DIST($A104,$B$3,B$5,FALSE)</f>
        <v>#NAME?</v>
      </c>
      <c r="C104" t="e">
        <f ca="1">NT_DIST($A104,$B$3,C$5,FALSE)</f>
        <v>#NAME?</v>
      </c>
      <c r="D104" t="e">
        <f ca="1">NT_DIST($A104,$B$3,D$5,FALSE)</f>
        <v>#NAME?</v>
      </c>
      <c r="E104" t="e">
        <f ca="1">NT_DIST($A104,$B$3,E$5,FALSE)</f>
        <v>#NAME?</v>
      </c>
      <c r="Q104">
        <f t="shared" si="3"/>
        <v>3.5999999999999974</v>
      </c>
      <c r="R104" t="e">
        <f ca="1">NT_DIST($Q104,R$5,$R$3,FALSE)</f>
        <v>#NAME?</v>
      </c>
      <c r="S104" t="e">
        <f ca="1">NT_DIST($Q104,S$5,$R$3,FALSE)</f>
        <v>#NAME?</v>
      </c>
      <c r="T104" t="e">
        <f ca="1">NT_DIST($Q104,T$5,$R$3,FALSE)</f>
        <v>#NAME?</v>
      </c>
      <c r="U104" t="e">
        <f ca="1">NT_DIST($Q104,U$5,$R$3,FALSE)</f>
        <v>#NAME?</v>
      </c>
    </row>
    <row r="105" spans="1:21" x14ac:dyDescent="0.25">
      <c r="A105">
        <f t="shared" si="2"/>
        <v>-0.30000000000001881</v>
      </c>
      <c r="B105" t="e">
        <f ca="1">NT_DIST($A105,$B$3,B$5,FALSE)</f>
        <v>#NAME?</v>
      </c>
      <c r="C105" t="e">
        <f ca="1">NT_DIST($A105,$B$3,C$5,FALSE)</f>
        <v>#NAME?</v>
      </c>
      <c r="D105" t="e">
        <f ca="1">NT_DIST($A105,$B$3,D$5,FALSE)</f>
        <v>#NAME?</v>
      </c>
      <c r="E105" t="e">
        <f ca="1">NT_DIST($A105,$B$3,E$5,FALSE)</f>
        <v>#NAME?</v>
      </c>
      <c r="Q105">
        <f t="shared" si="3"/>
        <v>3.6999999999999975</v>
      </c>
      <c r="R105" t="e">
        <f ca="1">NT_DIST($Q105,R$5,$R$3,FALSE)</f>
        <v>#NAME?</v>
      </c>
      <c r="S105" t="e">
        <f ca="1">NT_DIST($Q105,S$5,$R$3,FALSE)</f>
        <v>#NAME?</v>
      </c>
      <c r="T105" t="e">
        <f ca="1">NT_DIST($Q105,T$5,$R$3,FALSE)</f>
        <v>#NAME?</v>
      </c>
      <c r="U105" t="e">
        <f ca="1">NT_DIST($Q105,U$5,$R$3,FALSE)</f>
        <v>#NAME?</v>
      </c>
    </row>
    <row r="106" spans="1:21" x14ac:dyDescent="0.25">
      <c r="A106">
        <f t="shared" si="2"/>
        <v>-0.2000000000000188</v>
      </c>
      <c r="B106" t="e">
        <f ca="1">NT_DIST($A106,$B$3,B$5,FALSE)</f>
        <v>#NAME?</v>
      </c>
      <c r="C106" t="e">
        <f ca="1">NT_DIST($A106,$B$3,C$5,FALSE)</f>
        <v>#NAME?</v>
      </c>
      <c r="D106" t="e">
        <f ca="1">NT_DIST($A106,$B$3,D$5,FALSE)</f>
        <v>#NAME?</v>
      </c>
      <c r="E106" t="e">
        <f ca="1">NT_DIST($A106,$B$3,E$5,FALSE)</f>
        <v>#NAME?</v>
      </c>
      <c r="Q106">
        <f t="shared" si="3"/>
        <v>3.7999999999999976</v>
      </c>
      <c r="R106" t="e">
        <f ca="1">NT_DIST($Q106,R$5,$R$3,FALSE)</f>
        <v>#NAME?</v>
      </c>
      <c r="S106" t="e">
        <f ca="1">NT_DIST($Q106,S$5,$R$3,FALSE)</f>
        <v>#NAME?</v>
      </c>
      <c r="T106" t="e">
        <f ca="1">NT_DIST($Q106,T$5,$R$3,FALSE)</f>
        <v>#NAME?</v>
      </c>
      <c r="U106" t="e">
        <f ca="1">NT_DIST($Q106,U$5,$R$3,FALSE)</f>
        <v>#NAME?</v>
      </c>
    </row>
    <row r="107" spans="1:21" x14ac:dyDescent="0.25">
      <c r="A107">
        <f t="shared" si="2"/>
        <v>-0.1000000000000188</v>
      </c>
      <c r="B107" t="e">
        <f ca="1">NT_DIST($A107,$B$3,B$5,FALSE)</f>
        <v>#NAME?</v>
      </c>
      <c r="C107" t="e">
        <f ca="1">NT_DIST($A107,$B$3,C$5,FALSE)</f>
        <v>#NAME?</v>
      </c>
      <c r="D107" t="e">
        <f ca="1">NT_DIST($A107,$B$3,D$5,FALSE)</f>
        <v>#NAME?</v>
      </c>
      <c r="E107" t="e">
        <f ca="1">NT_DIST($A107,$B$3,E$5,FALSE)</f>
        <v>#NAME?</v>
      </c>
      <c r="Q107">
        <f t="shared" si="3"/>
        <v>3.8999999999999977</v>
      </c>
      <c r="R107" t="e">
        <f ca="1">NT_DIST($Q107,R$5,$R$3,FALSE)</f>
        <v>#NAME?</v>
      </c>
      <c r="S107" t="e">
        <f ca="1">NT_DIST($Q107,S$5,$R$3,FALSE)</f>
        <v>#NAME?</v>
      </c>
      <c r="T107" t="e">
        <f ca="1">NT_DIST($Q107,T$5,$R$3,FALSE)</f>
        <v>#NAME?</v>
      </c>
      <c r="U107" t="e">
        <f ca="1">NT_DIST($Q107,U$5,$R$3,FALSE)</f>
        <v>#NAME?</v>
      </c>
    </row>
    <row r="108" spans="1:21" x14ac:dyDescent="0.25">
      <c r="A108">
        <f t="shared" si="2"/>
        <v>-1.8790524691780774E-14</v>
      </c>
      <c r="B108" t="e">
        <f ca="1">NT_DIST($A108,$B$3,B$5,FALSE)</f>
        <v>#NAME?</v>
      </c>
      <c r="C108" t="e">
        <f ca="1">NT_DIST($A108,$B$3,C$5,FALSE)</f>
        <v>#NAME?</v>
      </c>
      <c r="D108" t="e">
        <f ca="1">NT_DIST($A108,$B$3,D$5,FALSE)</f>
        <v>#NAME?</v>
      </c>
      <c r="E108" t="e">
        <f ca="1">NT_DIST($A108,$B$3,E$5,FALSE)</f>
        <v>#NAME?</v>
      </c>
      <c r="Q108">
        <f t="shared" si="3"/>
        <v>3.9999999999999978</v>
      </c>
      <c r="R108" t="e">
        <f ca="1">NT_DIST($Q108,R$5,$R$3,FALSE)</f>
        <v>#NAME?</v>
      </c>
      <c r="S108" t="e">
        <f ca="1">NT_DIST($Q108,S$5,$R$3,FALSE)</f>
        <v>#NAME?</v>
      </c>
      <c r="T108" t="e">
        <f ca="1">NT_DIST($Q108,T$5,$R$3,FALSE)</f>
        <v>#NAME?</v>
      </c>
      <c r="U108" t="e">
        <f ca="1">NT_DIST($Q108,U$5,$R$3,FALSE)</f>
        <v>#NAME?</v>
      </c>
    </row>
    <row r="109" spans="1:21" x14ac:dyDescent="0.25">
      <c r="A109">
        <f t="shared" si="2"/>
        <v>9.9999999999981215E-2</v>
      </c>
      <c r="B109" t="e">
        <f ca="1">NT_DIST($A109,$B$3,B$5,FALSE)</f>
        <v>#NAME?</v>
      </c>
      <c r="C109" t="e">
        <f ca="1">NT_DIST($A109,$B$3,C$5,FALSE)</f>
        <v>#NAME?</v>
      </c>
      <c r="D109" t="e">
        <f ca="1">NT_DIST($A109,$B$3,D$5,FALSE)</f>
        <v>#NAME?</v>
      </c>
      <c r="E109" t="e">
        <f ca="1">NT_DIST($A109,$B$3,E$5,FALSE)</f>
        <v>#NAME?</v>
      </c>
      <c r="Q109">
        <f t="shared" si="3"/>
        <v>4.0999999999999979</v>
      </c>
      <c r="R109" t="e">
        <f ca="1">NT_DIST($Q109,R$5,$R$3,FALSE)</f>
        <v>#NAME?</v>
      </c>
      <c r="S109" t="e">
        <f ca="1">NT_DIST($Q109,S$5,$R$3,FALSE)</f>
        <v>#NAME?</v>
      </c>
      <c r="T109" t="e">
        <f ca="1">NT_DIST($Q109,T$5,$R$3,FALSE)</f>
        <v>#NAME?</v>
      </c>
      <c r="U109" t="e">
        <f ca="1">NT_DIST($Q109,U$5,$R$3,FALSE)</f>
        <v>#NAME?</v>
      </c>
    </row>
    <row r="110" spans="1:21" x14ac:dyDescent="0.25">
      <c r="A110">
        <f t="shared" si="2"/>
        <v>0.19999999999998122</v>
      </c>
      <c r="B110" t="e">
        <f ca="1">NT_DIST($A110,$B$3,B$5,FALSE)</f>
        <v>#NAME?</v>
      </c>
      <c r="C110" t="e">
        <f ca="1">NT_DIST($A110,$B$3,C$5,FALSE)</f>
        <v>#NAME?</v>
      </c>
      <c r="D110" t="e">
        <f ca="1">NT_DIST($A110,$B$3,D$5,FALSE)</f>
        <v>#NAME?</v>
      </c>
      <c r="E110" t="e">
        <f ca="1">NT_DIST($A110,$B$3,E$5,FALSE)</f>
        <v>#NAME?</v>
      </c>
      <c r="Q110">
        <f t="shared" si="3"/>
        <v>4.1999999999999975</v>
      </c>
      <c r="R110" t="e">
        <f ca="1">NT_DIST($Q110,R$5,$R$3,FALSE)</f>
        <v>#NAME?</v>
      </c>
      <c r="S110" t="e">
        <f ca="1">NT_DIST($Q110,S$5,$R$3,FALSE)</f>
        <v>#NAME?</v>
      </c>
      <c r="T110" t="e">
        <f ca="1">NT_DIST($Q110,T$5,$R$3,FALSE)</f>
        <v>#NAME?</v>
      </c>
      <c r="U110" t="e">
        <f ca="1">NT_DIST($Q110,U$5,$R$3,FALSE)</f>
        <v>#NAME?</v>
      </c>
    </row>
    <row r="111" spans="1:21" x14ac:dyDescent="0.25">
      <c r="A111">
        <f t="shared" si="2"/>
        <v>0.29999999999998123</v>
      </c>
      <c r="B111" t="e">
        <f ca="1">NT_DIST($A111,$B$3,B$5,FALSE)</f>
        <v>#NAME?</v>
      </c>
      <c r="C111" t="e">
        <f ca="1">NT_DIST($A111,$B$3,C$5,FALSE)</f>
        <v>#NAME?</v>
      </c>
      <c r="D111" t="e">
        <f ca="1">NT_DIST($A111,$B$3,D$5,FALSE)</f>
        <v>#NAME?</v>
      </c>
      <c r="E111" t="e">
        <f ca="1">NT_DIST($A111,$B$3,E$5,FALSE)</f>
        <v>#NAME?</v>
      </c>
      <c r="Q111">
        <f t="shared" si="3"/>
        <v>4.2999999999999972</v>
      </c>
      <c r="R111" t="e">
        <f ca="1">NT_DIST($Q111,R$5,$R$3,FALSE)</f>
        <v>#NAME?</v>
      </c>
      <c r="S111" t="e">
        <f ca="1">NT_DIST($Q111,S$5,$R$3,FALSE)</f>
        <v>#NAME?</v>
      </c>
      <c r="T111" t="e">
        <f ca="1">NT_DIST($Q111,T$5,$R$3,FALSE)</f>
        <v>#NAME?</v>
      </c>
      <c r="U111" t="e">
        <f ca="1">NT_DIST($Q111,U$5,$R$3,FALSE)</f>
        <v>#NAME?</v>
      </c>
    </row>
    <row r="112" spans="1:21" x14ac:dyDescent="0.25">
      <c r="A112">
        <f t="shared" si="2"/>
        <v>0.39999999999998126</v>
      </c>
      <c r="B112" t="e">
        <f ca="1">NT_DIST($A112,$B$3,B$5,FALSE)</f>
        <v>#NAME?</v>
      </c>
      <c r="C112" t="e">
        <f ca="1">NT_DIST($A112,$B$3,C$5,FALSE)</f>
        <v>#NAME?</v>
      </c>
      <c r="D112" t="e">
        <f ca="1">NT_DIST($A112,$B$3,D$5,FALSE)</f>
        <v>#NAME?</v>
      </c>
      <c r="E112" t="e">
        <f ca="1">NT_DIST($A112,$B$3,E$5,FALSE)</f>
        <v>#NAME?</v>
      </c>
      <c r="Q112">
        <f t="shared" si="3"/>
        <v>4.3999999999999968</v>
      </c>
      <c r="R112" t="e">
        <f ca="1">NT_DIST($Q112,R$5,$R$3,FALSE)</f>
        <v>#NAME?</v>
      </c>
      <c r="S112" t="e">
        <f ca="1">NT_DIST($Q112,S$5,$R$3,FALSE)</f>
        <v>#NAME?</v>
      </c>
      <c r="T112" t="e">
        <f ca="1">NT_DIST($Q112,T$5,$R$3,FALSE)</f>
        <v>#NAME?</v>
      </c>
      <c r="U112" t="e">
        <f ca="1">NT_DIST($Q112,U$5,$R$3,FALSE)</f>
        <v>#NAME?</v>
      </c>
    </row>
    <row r="113" spans="1:21" x14ac:dyDescent="0.25">
      <c r="A113">
        <f t="shared" si="2"/>
        <v>0.49999999999998124</v>
      </c>
      <c r="B113" t="e">
        <f ca="1">NT_DIST($A113,$B$3,B$5,FALSE)</f>
        <v>#NAME?</v>
      </c>
      <c r="C113" t="e">
        <f ca="1">NT_DIST($A113,$B$3,C$5,FALSE)</f>
        <v>#NAME?</v>
      </c>
      <c r="D113" t="e">
        <f ca="1">NT_DIST($A113,$B$3,D$5,FALSE)</f>
        <v>#NAME?</v>
      </c>
      <c r="E113" t="e">
        <f ca="1">NT_DIST($A113,$B$3,E$5,FALSE)</f>
        <v>#NAME?</v>
      </c>
      <c r="Q113">
        <f t="shared" si="3"/>
        <v>4.4999999999999964</v>
      </c>
      <c r="R113" t="e">
        <f ca="1">NT_DIST($Q113,R$5,$R$3,FALSE)</f>
        <v>#NAME?</v>
      </c>
      <c r="S113" t="e">
        <f ca="1">NT_DIST($Q113,S$5,$R$3,FALSE)</f>
        <v>#NAME?</v>
      </c>
      <c r="T113" t="e">
        <f ca="1">NT_DIST($Q113,T$5,$R$3,FALSE)</f>
        <v>#NAME?</v>
      </c>
      <c r="U113" t="e">
        <f ca="1">NT_DIST($Q113,U$5,$R$3,FALSE)</f>
        <v>#NAME?</v>
      </c>
    </row>
    <row r="114" spans="1:21" x14ac:dyDescent="0.25">
      <c r="A114">
        <f t="shared" si="2"/>
        <v>0.59999999999998122</v>
      </c>
      <c r="B114" t="e">
        <f ca="1">NT_DIST($A114,$B$3,B$5,FALSE)</f>
        <v>#NAME?</v>
      </c>
      <c r="C114" t="e">
        <f ca="1">NT_DIST($A114,$B$3,C$5,FALSE)</f>
        <v>#NAME?</v>
      </c>
      <c r="D114" t="e">
        <f ca="1">NT_DIST($A114,$B$3,D$5,FALSE)</f>
        <v>#NAME?</v>
      </c>
      <c r="E114" t="e">
        <f ca="1">NT_DIST($A114,$B$3,E$5,FALSE)</f>
        <v>#NAME?</v>
      </c>
      <c r="Q114">
        <f t="shared" si="3"/>
        <v>4.5999999999999961</v>
      </c>
      <c r="R114" t="e">
        <f ca="1">NT_DIST($Q114,R$5,$R$3,FALSE)</f>
        <v>#NAME?</v>
      </c>
      <c r="S114" t="e">
        <f ca="1">NT_DIST($Q114,S$5,$R$3,FALSE)</f>
        <v>#NAME?</v>
      </c>
      <c r="T114" t="e">
        <f ca="1">NT_DIST($Q114,T$5,$R$3,FALSE)</f>
        <v>#NAME?</v>
      </c>
      <c r="U114" t="e">
        <f ca="1">NT_DIST($Q114,U$5,$R$3,FALSE)</f>
        <v>#NAME?</v>
      </c>
    </row>
    <row r="115" spans="1:21" x14ac:dyDescent="0.25">
      <c r="A115">
        <f t="shared" si="2"/>
        <v>0.69999999999998119</v>
      </c>
      <c r="B115" t="e">
        <f ca="1">NT_DIST($A115,$B$3,B$5,FALSE)</f>
        <v>#NAME?</v>
      </c>
      <c r="C115" t="e">
        <f ca="1">NT_DIST($A115,$B$3,C$5,FALSE)</f>
        <v>#NAME?</v>
      </c>
      <c r="D115" t="e">
        <f ca="1">NT_DIST($A115,$B$3,D$5,FALSE)</f>
        <v>#NAME?</v>
      </c>
      <c r="E115" t="e">
        <f ca="1">NT_DIST($A115,$B$3,E$5,FALSE)</f>
        <v>#NAME?</v>
      </c>
      <c r="Q115">
        <f t="shared" si="3"/>
        <v>4.6999999999999957</v>
      </c>
      <c r="R115" t="e">
        <f ca="1">NT_DIST($Q115,R$5,$R$3,FALSE)</f>
        <v>#NAME?</v>
      </c>
      <c r="S115" t="e">
        <f ca="1">NT_DIST($Q115,S$5,$R$3,FALSE)</f>
        <v>#NAME?</v>
      </c>
      <c r="T115" t="e">
        <f ca="1">NT_DIST($Q115,T$5,$R$3,FALSE)</f>
        <v>#NAME?</v>
      </c>
      <c r="U115" t="e">
        <f ca="1">NT_DIST($Q115,U$5,$R$3,FALSE)</f>
        <v>#NAME?</v>
      </c>
    </row>
    <row r="116" spans="1:21" x14ac:dyDescent="0.25">
      <c r="A116">
        <f t="shared" si="2"/>
        <v>0.79999999999998117</v>
      </c>
      <c r="B116" t="e">
        <f ca="1">NT_DIST($A116,$B$3,B$5,FALSE)</f>
        <v>#NAME?</v>
      </c>
      <c r="C116" t="e">
        <f ca="1">NT_DIST($A116,$B$3,C$5,FALSE)</f>
        <v>#NAME?</v>
      </c>
      <c r="D116" t="e">
        <f ca="1">NT_DIST($A116,$B$3,D$5,FALSE)</f>
        <v>#NAME?</v>
      </c>
      <c r="E116" t="e">
        <f ca="1">NT_DIST($A116,$B$3,E$5,FALSE)</f>
        <v>#NAME?</v>
      </c>
      <c r="Q116">
        <f t="shared" si="3"/>
        <v>4.7999999999999954</v>
      </c>
      <c r="R116" t="e">
        <f ca="1">NT_DIST($Q116,R$5,$R$3,FALSE)</f>
        <v>#NAME?</v>
      </c>
      <c r="S116" t="e">
        <f ca="1">NT_DIST($Q116,S$5,$R$3,FALSE)</f>
        <v>#NAME?</v>
      </c>
      <c r="T116" t="e">
        <f ca="1">NT_DIST($Q116,T$5,$R$3,FALSE)</f>
        <v>#NAME?</v>
      </c>
      <c r="U116" t="e">
        <f ca="1">NT_DIST($Q116,U$5,$R$3,FALSE)</f>
        <v>#NAME?</v>
      </c>
    </row>
    <row r="117" spans="1:21" x14ac:dyDescent="0.25">
      <c r="A117">
        <f t="shared" si="2"/>
        <v>0.89999999999998115</v>
      </c>
      <c r="B117" t="e">
        <f ca="1">NT_DIST($A117,$B$3,B$5,FALSE)</f>
        <v>#NAME?</v>
      </c>
      <c r="C117" t="e">
        <f ca="1">NT_DIST($A117,$B$3,C$5,FALSE)</f>
        <v>#NAME?</v>
      </c>
      <c r="D117" t="e">
        <f ca="1">NT_DIST($A117,$B$3,D$5,FALSE)</f>
        <v>#NAME?</v>
      </c>
      <c r="E117" t="e">
        <f ca="1">NT_DIST($A117,$B$3,E$5,FALSE)</f>
        <v>#NAME?</v>
      </c>
      <c r="Q117">
        <f t="shared" si="3"/>
        <v>4.899999999999995</v>
      </c>
      <c r="R117" t="e">
        <f ca="1">NT_DIST($Q117,R$5,$R$3,FALSE)</f>
        <v>#NAME?</v>
      </c>
      <c r="S117" t="e">
        <f ca="1">NT_DIST($Q117,S$5,$R$3,FALSE)</f>
        <v>#NAME?</v>
      </c>
      <c r="T117" t="e">
        <f ca="1">NT_DIST($Q117,T$5,$R$3,FALSE)</f>
        <v>#NAME?</v>
      </c>
      <c r="U117" t="e">
        <f ca="1">NT_DIST($Q117,U$5,$R$3,FALSE)</f>
        <v>#NAME?</v>
      </c>
    </row>
    <row r="118" spans="1:21" x14ac:dyDescent="0.25">
      <c r="A118">
        <f t="shared" si="2"/>
        <v>0.99999999999998113</v>
      </c>
      <c r="B118" t="e">
        <f ca="1">NT_DIST($A118,$B$3,B$5,FALSE)</f>
        <v>#NAME?</v>
      </c>
      <c r="C118" t="e">
        <f ca="1">NT_DIST($A118,$B$3,C$5,FALSE)</f>
        <v>#NAME?</v>
      </c>
      <c r="D118" t="e">
        <f ca="1">NT_DIST($A118,$B$3,D$5,FALSE)</f>
        <v>#NAME?</v>
      </c>
      <c r="E118" t="e">
        <f ca="1">NT_DIST($A118,$B$3,E$5,FALSE)</f>
        <v>#NAME?</v>
      </c>
      <c r="Q118">
        <f t="shared" si="3"/>
        <v>4.9999999999999947</v>
      </c>
      <c r="R118" t="e">
        <f ca="1">NT_DIST($Q118,R$5,$R$3,FALSE)</f>
        <v>#NAME?</v>
      </c>
      <c r="S118" t="e">
        <f ca="1">NT_DIST($Q118,S$5,$R$3,FALSE)</f>
        <v>#NAME?</v>
      </c>
      <c r="T118" t="e">
        <f ca="1">NT_DIST($Q118,T$5,$R$3,FALSE)</f>
        <v>#NAME?</v>
      </c>
      <c r="U118" t="e">
        <f ca="1">NT_DIST($Q118,U$5,$R$3,FALSE)</f>
        <v>#NAME?</v>
      </c>
    </row>
    <row r="119" spans="1:21" x14ac:dyDescent="0.25">
      <c r="A119">
        <f t="shared" si="2"/>
        <v>1.0999999999999812</v>
      </c>
      <c r="B119" t="e">
        <f ca="1">NT_DIST($A119,$B$3,B$5,FALSE)</f>
        <v>#NAME?</v>
      </c>
      <c r="C119" t="e">
        <f ca="1">NT_DIST($A119,$B$3,C$5,FALSE)</f>
        <v>#NAME?</v>
      </c>
      <c r="D119" t="e">
        <f ca="1">NT_DIST($A119,$B$3,D$5,FALSE)</f>
        <v>#NAME?</v>
      </c>
      <c r="E119" t="e">
        <f ca="1">NT_DIST($A119,$B$3,E$5,FALSE)</f>
        <v>#NAME?</v>
      </c>
      <c r="Q119">
        <f t="shared" si="3"/>
        <v>5.0999999999999943</v>
      </c>
      <c r="R119" t="e">
        <f ca="1">NT_DIST($Q119,R$5,$R$3,FALSE)</f>
        <v>#NAME?</v>
      </c>
      <c r="S119" t="e">
        <f ca="1">NT_DIST($Q119,S$5,$R$3,FALSE)</f>
        <v>#NAME?</v>
      </c>
      <c r="T119" t="e">
        <f ca="1">NT_DIST($Q119,T$5,$R$3,FALSE)</f>
        <v>#NAME?</v>
      </c>
      <c r="U119" t="e">
        <f ca="1">NT_DIST($Q119,U$5,$R$3,FALSE)</f>
        <v>#NAME?</v>
      </c>
    </row>
    <row r="120" spans="1:21" x14ac:dyDescent="0.25">
      <c r="A120">
        <f t="shared" si="2"/>
        <v>1.1999999999999813</v>
      </c>
      <c r="B120" t="e">
        <f ca="1">NT_DIST($A120,$B$3,B$5,FALSE)</f>
        <v>#NAME?</v>
      </c>
      <c r="C120" t="e">
        <f ca="1">NT_DIST($A120,$B$3,C$5,FALSE)</f>
        <v>#NAME?</v>
      </c>
      <c r="D120" t="e">
        <f ca="1">NT_DIST($A120,$B$3,D$5,FALSE)</f>
        <v>#NAME?</v>
      </c>
      <c r="E120" t="e">
        <f ca="1">NT_DIST($A120,$B$3,E$5,FALSE)</f>
        <v>#NAME?</v>
      </c>
      <c r="Q120">
        <f t="shared" si="3"/>
        <v>5.199999999999994</v>
      </c>
      <c r="R120" t="e">
        <f ca="1">NT_DIST($Q120,R$5,$R$3,FALSE)</f>
        <v>#NAME?</v>
      </c>
      <c r="S120" t="e">
        <f ca="1">NT_DIST($Q120,S$5,$R$3,FALSE)</f>
        <v>#NAME?</v>
      </c>
      <c r="T120" t="e">
        <f ca="1">NT_DIST($Q120,T$5,$R$3,FALSE)</f>
        <v>#NAME?</v>
      </c>
      <c r="U120" t="e">
        <f ca="1">NT_DIST($Q120,U$5,$R$3,FALSE)</f>
        <v>#NAME?</v>
      </c>
    </row>
    <row r="121" spans="1:21" x14ac:dyDescent="0.25">
      <c r="A121">
        <f t="shared" si="2"/>
        <v>1.2999999999999814</v>
      </c>
      <c r="B121" t="e">
        <f ca="1">NT_DIST($A121,$B$3,B$5,FALSE)</f>
        <v>#NAME?</v>
      </c>
      <c r="C121" t="e">
        <f ca="1">NT_DIST($A121,$B$3,C$5,FALSE)</f>
        <v>#NAME?</v>
      </c>
      <c r="D121" t="e">
        <f ca="1">NT_DIST($A121,$B$3,D$5,FALSE)</f>
        <v>#NAME?</v>
      </c>
      <c r="E121" t="e">
        <f ca="1">NT_DIST($A121,$B$3,E$5,FALSE)</f>
        <v>#NAME?</v>
      </c>
      <c r="Q121">
        <f t="shared" si="3"/>
        <v>5.2999999999999936</v>
      </c>
      <c r="R121" t="e">
        <f ca="1">NT_DIST($Q121,R$5,$R$3,FALSE)</f>
        <v>#NAME?</v>
      </c>
      <c r="S121" t="e">
        <f ca="1">NT_DIST($Q121,S$5,$R$3,FALSE)</f>
        <v>#NAME?</v>
      </c>
      <c r="T121" t="e">
        <f ca="1">NT_DIST($Q121,T$5,$R$3,FALSE)</f>
        <v>#NAME?</v>
      </c>
      <c r="U121" t="e">
        <f ca="1">NT_DIST($Q121,U$5,$R$3,FALSE)</f>
        <v>#NAME?</v>
      </c>
    </row>
    <row r="122" spans="1:21" x14ac:dyDescent="0.25">
      <c r="A122">
        <f t="shared" si="2"/>
        <v>1.3999999999999815</v>
      </c>
      <c r="B122" t="e">
        <f ca="1">NT_DIST($A122,$B$3,B$5,FALSE)</f>
        <v>#NAME?</v>
      </c>
      <c r="C122" t="e">
        <f ca="1">NT_DIST($A122,$B$3,C$5,FALSE)</f>
        <v>#NAME?</v>
      </c>
      <c r="D122" t="e">
        <f ca="1">NT_DIST($A122,$B$3,D$5,FALSE)</f>
        <v>#NAME?</v>
      </c>
      <c r="E122" t="e">
        <f ca="1">NT_DIST($A122,$B$3,E$5,FALSE)</f>
        <v>#NAME?</v>
      </c>
      <c r="Q122">
        <f t="shared" si="3"/>
        <v>5.3999999999999932</v>
      </c>
      <c r="R122" t="e">
        <f ca="1">NT_DIST($Q122,R$5,$R$3,FALSE)</f>
        <v>#NAME?</v>
      </c>
      <c r="S122" t="e">
        <f ca="1">NT_DIST($Q122,S$5,$R$3,FALSE)</f>
        <v>#NAME?</v>
      </c>
      <c r="T122" t="e">
        <f ca="1">NT_DIST($Q122,T$5,$R$3,FALSE)</f>
        <v>#NAME?</v>
      </c>
      <c r="U122" t="e">
        <f ca="1">NT_DIST($Q122,U$5,$R$3,FALSE)</f>
        <v>#NAME?</v>
      </c>
    </row>
    <row r="123" spans="1:21" x14ac:dyDescent="0.25">
      <c r="A123">
        <f t="shared" si="2"/>
        <v>1.4999999999999816</v>
      </c>
      <c r="B123" t="e">
        <f ca="1">NT_DIST($A123,$B$3,B$5,FALSE)</f>
        <v>#NAME?</v>
      </c>
      <c r="C123" t="e">
        <f ca="1">NT_DIST($A123,$B$3,C$5,FALSE)</f>
        <v>#NAME?</v>
      </c>
      <c r="D123" t="e">
        <f ca="1">NT_DIST($A123,$B$3,D$5,FALSE)</f>
        <v>#NAME?</v>
      </c>
      <c r="E123" t="e">
        <f ca="1">NT_DIST($A123,$B$3,E$5,FALSE)</f>
        <v>#NAME?</v>
      </c>
      <c r="Q123">
        <f t="shared" si="3"/>
        <v>5.4999999999999929</v>
      </c>
      <c r="R123" t="e">
        <f ca="1">NT_DIST($Q123,R$5,$R$3,FALSE)</f>
        <v>#NAME?</v>
      </c>
      <c r="S123" t="e">
        <f ca="1">NT_DIST($Q123,S$5,$R$3,FALSE)</f>
        <v>#NAME?</v>
      </c>
      <c r="T123" t="e">
        <f ca="1">NT_DIST($Q123,T$5,$R$3,FALSE)</f>
        <v>#NAME?</v>
      </c>
      <c r="U123" t="e">
        <f ca="1">NT_DIST($Q123,U$5,$R$3,FALSE)</f>
        <v>#NAME?</v>
      </c>
    </row>
    <row r="124" spans="1:21" x14ac:dyDescent="0.25">
      <c r="A124">
        <f t="shared" si="2"/>
        <v>1.5999999999999817</v>
      </c>
      <c r="B124" t="e">
        <f ca="1">NT_DIST($A124,$B$3,B$5,FALSE)</f>
        <v>#NAME?</v>
      </c>
      <c r="C124" t="e">
        <f ca="1">NT_DIST($A124,$B$3,C$5,FALSE)</f>
        <v>#NAME?</v>
      </c>
      <c r="D124" t="e">
        <f ca="1">NT_DIST($A124,$B$3,D$5,FALSE)</f>
        <v>#NAME?</v>
      </c>
      <c r="E124" t="e">
        <f ca="1">NT_DIST($A124,$B$3,E$5,FALSE)</f>
        <v>#NAME?</v>
      </c>
      <c r="Q124">
        <f t="shared" si="3"/>
        <v>5.5999999999999925</v>
      </c>
      <c r="R124" t="e">
        <f ca="1">NT_DIST($Q124,R$5,$R$3,FALSE)</f>
        <v>#NAME?</v>
      </c>
      <c r="S124" t="e">
        <f ca="1">NT_DIST($Q124,S$5,$R$3,FALSE)</f>
        <v>#NAME?</v>
      </c>
      <c r="T124" t="e">
        <f ca="1">NT_DIST($Q124,T$5,$R$3,FALSE)</f>
        <v>#NAME?</v>
      </c>
      <c r="U124" t="e">
        <f ca="1">NT_DIST($Q124,U$5,$R$3,FALSE)</f>
        <v>#NAME?</v>
      </c>
    </row>
    <row r="125" spans="1:21" x14ac:dyDescent="0.25">
      <c r="A125">
        <f t="shared" si="2"/>
        <v>1.6999999999999817</v>
      </c>
      <c r="B125" t="e">
        <f ca="1">NT_DIST($A125,$B$3,B$5,FALSE)</f>
        <v>#NAME?</v>
      </c>
      <c r="C125" t="e">
        <f ca="1">NT_DIST($A125,$B$3,C$5,FALSE)</f>
        <v>#NAME?</v>
      </c>
      <c r="D125" t="e">
        <f ca="1">NT_DIST($A125,$B$3,D$5,FALSE)</f>
        <v>#NAME?</v>
      </c>
      <c r="E125" t="e">
        <f ca="1">NT_DIST($A125,$B$3,E$5,FALSE)</f>
        <v>#NAME?</v>
      </c>
      <c r="Q125">
        <f t="shared" si="3"/>
        <v>5.6999999999999922</v>
      </c>
      <c r="R125" t="e">
        <f ca="1">NT_DIST($Q125,R$5,$R$3,FALSE)</f>
        <v>#NAME?</v>
      </c>
      <c r="S125" t="e">
        <f ca="1">NT_DIST($Q125,S$5,$R$3,FALSE)</f>
        <v>#NAME?</v>
      </c>
      <c r="T125" t="e">
        <f ca="1">NT_DIST($Q125,T$5,$R$3,FALSE)</f>
        <v>#NAME?</v>
      </c>
      <c r="U125" t="e">
        <f ca="1">NT_DIST($Q125,U$5,$R$3,FALSE)</f>
        <v>#NAME?</v>
      </c>
    </row>
    <row r="126" spans="1:21" x14ac:dyDescent="0.25">
      <c r="A126">
        <f t="shared" si="2"/>
        <v>1.7999999999999818</v>
      </c>
      <c r="B126" t="e">
        <f ca="1">NT_DIST($A126,$B$3,B$5,FALSE)</f>
        <v>#NAME?</v>
      </c>
      <c r="C126" t="e">
        <f ca="1">NT_DIST($A126,$B$3,C$5,FALSE)</f>
        <v>#NAME?</v>
      </c>
      <c r="D126" t="e">
        <f ca="1">NT_DIST($A126,$B$3,D$5,FALSE)</f>
        <v>#NAME?</v>
      </c>
      <c r="E126" t="e">
        <f ca="1">NT_DIST($A126,$B$3,E$5,FALSE)</f>
        <v>#NAME?</v>
      </c>
      <c r="Q126">
        <f t="shared" si="3"/>
        <v>5.7999999999999918</v>
      </c>
      <c r="R126" t="e">
        <f ca="1">NT_DIST($Q126,R$5,$R$3,FALSE)</f>
        <v>#NAME?</v>
      </c>
      <c r="S126" t="e">
        <f ca="1">NT_DIST($Q126,S$5,$R$3,FALSE)</f>
        <v>#NAME?</v>
      </c>
      <c r="T126" t="e">
        <f ca="1">NT_DIST($Q126,T$5,$R$3,FALSE)</f>
        <v>#NAME?</v>
      </c>
      <c r="U126" t="e">
        <f ca="1">NT_DIST($Q126,U$5,$R$3,FALSE)</f>
        <v>#NAME?</v>
      </c>
    </row>
    <row r="127" spans="1:21" x14ac:dyDescent="0.25">
      <c r="A127">
        <f t="shared" si="2"/>
        <v>1.8999999999999819</v>
      </c>
      <c r="B127" t="e">
        <f ca="1">NT_DIST($A127,$B$3,B$5,FALSE)</f>
        <v>#NAME?</v>
      </c>
      <c r="C127" t="e">
        <f ca="1">NT_DIST($A127,$B$3,C$5,FALSE)</f>
        <v>#NAME?</v>
      </c>
      <c r="D127" t="e">
        <f ca="1">NT_DIST($A127,$B$3,D$5,FALSE)</f>
        <v>#NAME?</v>
      </c>
      <c r="E127" t="e">
        <f ca="1">NT_DIST($A127,$B$3,E$5,FALSE)</f>
        <v>#NAME?</v>
      </c>
      <c r="Q127">
        <f t="shared" si="3"/>
        <v>5.8999999999999915</v>
      </c>
      <c r="R127" t="e">
        <f ca="1">NT_DIST($Q127,R$5,$R$3,FALSE)</f>
        <v>#NAME?</v>
      </c>
      <c r="S127" t="e">
        <f ca="1">NT_DIST($Q127,S$5,$R$3,FALSE)</f>
        <v>#NAME?</v>
      </c>
      <c r="T127" t="e">
        <f ca="1">NT_DIST($Q127,T$5,$R$3,FALSE)</f>
        <v>#NAME?</v>
      </c>
      <c r="U127" t="e">
        <f ca="1">NT_DIST($Q127,U$5,$R$3,FALSE)</f>
        <v>#NAME?</v>
      </c>
    </row>
    <row r="128" spans="1:21" x14ac:dyDescent="0.25">
      <c r="A128">
        <f t="shared" si="2"/>
        <v>1.999999999999982</v>
      </c>
      <c r="B128" t="e">
        <f ca="1">NT_DIST($A128,$B$3,B$5,FALSE)</f>
        <v>#NAME?</v>
      </c>
      <c r="C128" t="e">
        <f ca="1">NT_DIST($A128,$B$3,C$5,FALSE)</f>
        <v>#NAME?</v>
      </c>
      <c r="D128" t="e">
        <f ca="1">NT_DIST($A128,$B$3,D$5,FALSE)</f>
        <v>#NAME?</v>
      </c>
      <c r="E128" t="e">
        <f ca="1">NT_DIST($A128,$B$3,E$5,FALSE)</f>
        <v>#NAME?</v>
      </c>
      <c r="Q128">
        <f t="shared" si="3"/>
        <v>5.9999999999999911</v>
      </c>
      <c r="R128" t="e">
        <f ca="1">NT_DIST($Q128,R$5,$R$3,FALSE)</f>
        <v>#NAME?</v>
      </c>
      <c r="S128" t="e">
        <f ca="1">NT_DIST($Q128,S$5,$R$3,FALSE)</f>
        <v>#NAME?</v>
      </c>
      <c r="T128" t="e">
        <f ca="1">NT_DIST($Q128,T$5,$R$3,FALSE)</f>
        <v>#NAME?</v>
      </c>
      <c r="U128" t="e">
        <f ca="1">NT_DIST($Q128,U$5,$R$3,FALSE)</f>
        <v>#NAME?</v>
      </c>
    </row>
    <row r="129" spans="1:21" x14ac:dyDescent="0.25">
      <c r="A129">
        <f t="shared" si="2"/>
        <v>2.0999999999999819</v>
      </c>
      <c r="B129" t="e">
        <f ca="1">NT_DIST($A129,$B$3,B$5,FALSE)</f>
        <v>#NAME?</v>
      </c>
      <c r="C129" t="e">
        <f ca="1">NT_DIST($A129,$B$3,C$5,FALSE)</f>
        <v>#NAME?</v>
      </c>
      <c r="D129" t="e">
        <f ca="1">NT_DIST($A129,$B$3,D$5,FALSE)</f>
        <v>#NAME?</v>
      </c>
      <c r="E129" t="e">
        <f ca="1">NT_DIST($A129,$B$3,E$5,FALSE)</f>
        <v>#NAME?</v>
      </c>
      <c r="Q129">
        <f t="shared" si="3"/>
        <v>6.0999999999999908</v>
      </c>
      <c r="R129" t="e">
        <f ca="1">NT_DIST($Q129,R$5,$R$3,FALSE)</f>
        <v>#NAME?</v>
      </c>
      <c r="S129" t="e">
        <f ca="1">NT_DIST($Q129,S$5,$R$3,FALSE)</f>
        <v>#NAME?</v>
      </c>
      <c r="T129" t="e">
        <f ca="1">NT_DIST($Q129,T$5,$R$3,FALSE)</f>
        <v>#NAME?</v>
      </c>
      <c r="U129" t="e">
        <f ca="1">NT_DIST($Q129,U$5,$R$3,FALSE)</f>
        <v>#NAME?</v>
      </c>
    </row>
    <row r="130" spans="1:21" x14ac:dyDescent="0.25">
      <c r="A130">
        <f t="shared" si="2"/>
        <v>2.199999999999982</v>
      </c>
      <c r="B130" t="e">
        <f ca="1">NT_DIST($A130,$B$3,B$5,FALSE)</f>
        <v>#NAME?</v>
      </c>
      <c r="C130" t="e">
        <f ca="1">NT_DIST($A130,$B$3,C$5,FALSE)</f>
        <v>#NAME?</v>
      </c>
      <c r="D130" t="e">
        <f ca="1">NT_DIST($A130,$B$3,D$5,FALSE)</f>
        <v>#NAME?</v>
      </c>
      <c r="E130" t="e">
        <f ca="1">NT_DIST($A130,$B$3,E$5,FALSE)</f>
        <v>#NAME?</v>
      </c>
      <c r="Q130">
        <f t="shared" si="3"/>
        <v>6.1999999999999904</v>
      </c>
      <c r="R130" t="e">
        <f ca="1">NT_DIST($Q130,R$5,$R$3,FALSE)</f>
        <v>#NAME?</v>
      </c>
      <c r="S130" t="e">
        <f ca="1">NT_DIST($Q130,S$5,$R$3,FALSE)</f>
        <v>#NAME?</v>
      </c>
      <c r="T130" t="e">
        <f ca="1">NT_DIST($Q130,T$5,$R$3,FALSE)</f>
        <v>#NAME?</v>
      </c>
      <c r="U130" t="e">
        <f ca="1">NT_DIST($Q130,U$5,$R$3,FALSE)</f>
        <v>#NAME?</v>
      </c>
    </row>
    <row r="131" spans="1:21" x14ac:dyDescent="0.25">
      <c r="A131">
        <f t="shared" si="2"/>
        <v>2.2999999999999821</v>
      </c>
      <c r="B131" t="e">
        <f ca="1">NT_DIST($A131,$B$3,B$5,FALSE)</f>
        <v>#NAME?</v>
      </c>
      <c r="C131" t="e">
        <f ca="1">NT_DIST($A131,$B$3,C$5,FALSE)</f>
        <v>#NAME?</v>
      </c>
      <c r="D131" t="e">
        <f ca="1">NT_DIST($A131,$B$3,D$5,FALSE)</f>
        <v>#NAME?</v>
      </c>
      <c r="E131" t="e">
        <f ca="1">NT_DIST($A131,$B$3,E$5,FALSE)</f>
        <v>#NAME?</v>
      </c>
      <c r="Q131">
        <f t="shared" si="3"/>
        <v>6.2999999999999901</v>
      </c>
      <c r="R131" t="e">
        <f ca="1">NT_DIST($Q131,R$5,$R$3,FALSE)</f>
        <v>#NAME?</v>
      </c>
      <c r="S131" t="e">
        <f ca="1">NT_DIST($Q131,S$5,$R$3,FALSE)</f>
        <v>#NAME?</v>
      </c>
      <c r="T131" t="e">
        <f ca="1">NT_DIST($Q131,T$5,$R$3,FALSE)</f>
        <v>#NAME?</v>
      </c>
      <c r="U131" t="e">
        <f ca="1">NT_DIST($Q131,U$5,$R$3,FALSE)</f>
        <v>#NAME?</v>
      </c>
    </row>
    <row r="132" spans="1:21" x14ac:dyDescent="0.25">
      <c r="A132">
        <f t="shared" si="2"/>
        <v>2.3999999999999821</v>
      </c>
      <c r="B132" t="e">
        <f ca="1">NT_DIST($A132,$B$3,B$5,FALSE)</f>
        <v>#NAME?</v>
      </c>
      <c r="C132" t="e">
        <f ca="1">NT_DIST($A132,$B$3,C$5,FALSE)</f>
        <v>#NAME?</v>
      </c>
      <c r="D132" t="e">
        <f ca="1">NT_DIST($A132,$B$3,D$5,FALSE)</f>
        <v>#NAME?</v>
      </c>
      <c r="E132" t="e">
        <f ca="1">NT_DIST($A132,$B$3,E$5,FALSE)</f>
        <v>#NAME?</v>
      </c>
      <c r="Q132">
        <f t="shared" si="3"/>
        <v>6.3999999999999897</v>
      </c>
      <c r="R132" t="e">
        <f ca="1">NT_DIST($Q132,R$5,$R$3,FALSE)</f>
        <v>#NAME?</v>
      </c>
      <c r="S132" t="e">
        <f ca="1">NT_DIST($Q132,S$5,$R$3,FALSE)</f>
        <v>#NAME?</v>
      </c>
      <c r="T132" t="e">
        <f ca="1">NT_DIST($Q132,T$5,$R$3,FALSE)</f>
        <v>#NAME?</v>
      </c>
      <c r="U132" t="e">
        <f ca="1">NT_DIST($Q132,U$5,$R$3,FALSE)</f>
        <v>#NAME?</v>
      </c>
    </row>
    <row r="133" spans="1:21" x14ac:dyDescent="0.25">
      <c r="A133">
        <f t="shared" si="2"/>
        <v>2.4999999999999822</v>
      </c>
      <c r="B133" t="e">
        <f ca="1">NT_DIST($A133,$B$3,B$5,FALSE)</f>
        <v>#NAME?</v>
      </c>
      <c r="C133" t="e">
        <f ca="1">NT_DIST($A133,$B$3,C$5,FALSE)</f>
        <v>#NAME?</v>
      </c>
      <c r="D133" t="e">
        <f ca="1">NT_DIST($A133,$B$3,D$5,FALSE)</f>
        <v>#NAME?</v>
      </c>
      <c r="E133" t="e">
        <f ca="1">NT_DIST($A133,$B$3,E$5,FALSE)</f>
        <v>#NAME?</v>
      </c>
      <c r="Q133">
        <f t="shared" si="3"/>
        <v>6.4999999999999893</v>
      </c>
      <c r="R133" t="e">
        <f ca="1">NT_DIST($Q133,R$5,$R$3,FALSE)</f>
        <v>#NAME?</v>
      </c>
      <c r="S133" t="e">
        <f ca="1">NT_DIST($Q133,S$5,$R$3,FALSE)</f>
        <v>#NAME?</v>
      </c>
      <c r="T133" t="e">
        <f ca="1">NT_DIST($Q133,T$5,$R$3,FALSE)</f>
        <v>#NAME?</v>
      </c>
      <c r="U133" t="e">
        <f ca="1">NT_DIST($Q133,U$5,$R$3,FALSE)</f>
        <v>#NAME?</v>
      </c>
    </row>
    <row r="134" spans="1:21" x14ac:dyDescent="0.25">
      <c r="A134">
        <f t="shared" si="2"/>
        <v>2.5999999999999823</v>
      </c>
      <c r="B134" t="e">
        <f ca="1">NT_DIST($A134,$B$3,B$5,FALSE)</f>
        <v>#NAME?</v>
      </c>
      <c r="C134" t="e">
        <f ca="1">NT_DIST($A134,$B$3,C$5,FALSE)</f>
        <v>#NAME?</v>
      </c>
      <c r="D134" t="e">
        <f ca="1">NT_DIST($A134,$B$3,D$5,FALSE)</f>
        <v>#NAME?</v>
      </c>
      <c r="E134" t="e">
        <f ca="1">NT_DIST($A134,$B$3,E$5,FALSE)</f>
        <v>#NAME?</v>
      </c>
      <c r="Q134">
        <f t="shared" si="3"/>
        <v>6.599999999999989</v>
      </c>
      <c r="R134" t="e">
        <f ca="1">NT_DIST($Q134,R$5,$R$3,FALSE)</f>
        <v>#NAME?</v>
      </c>
      <c r="S134" t="e">
        <f ca="1">NT_DIST($Q134,S$5,$R$3,FALSE)</f>
        <v>#NAME?</v>
      </c>
      <c r="T134" t="e">
        <f ca="1">NT_DIST($Q134,T$5,$R$3,FALSE)</f>
        <v>#NAME?</v>
      </c>
      <c r="U134" t="e">
        <f ca="1">NT_DIST($Q134,U$5,$R$3,FALSE)</f>
        <v>#NAME?</v>
      </c>
    </row>
    <row r="135" spans="1:21" x14ac:dyDescent="0.25">
      <c r="A135">
        <f t="shared" si="2"/>
        <v>2.6999999999999824</v>
      </c>
      <c r="B135" t="e">
        <f ca="1">NT_DIST($A135,$B$3,B$5,FALSE)</f>
        <v>#NAME?</v>
      </c>
      <c r="C135" t="e">
        <f ca="1">NT_DIST($A135,$B$3,C$5,FALSE)</f>
        <v>#NAME?</v>
      </c>
      <c r="D135" t="e">
        <f ca="1">NT_DIST($A135,$B$3,D$5,FALSE)</f>
        <v>#NAME?</v>
      </c>
      <c r="E135" t="e">
        <f ca="1">NT_DIST($A135,$B$3,E$5,FALSE)</f>
        <v>#NAME?</v>
      </c>
      <c r="Q135">
        <f t="shared" si="3"/>
        <v>6.6999999999999886</v>
      </c>
      <c r="R135" t="e">
        <f ca="1">NT_DIST($Q135,R$5,$R$3,FALSE)</f>
        <v>#NAME?</v>
      </c>
      <c r="S135" t="e">
        <f ca="1">NT_DIST($Q135,S$5,$R$3,FALSE)</f>
        <v>#NAME?</v>
      </c>
      <c r="T135" t="e">
        <f ca="1">NT_DIST($Q135,T$5,$R$3,FALSE)</f>
        <v>#NAME?</v>
      </c>
      <c r="U135" t="e">
        <f ca="1">NT_DIST($Q135,U$5,$R$3,FALSE)</f>
        <v>#NAME?</v>
      </c>
    </row>
    <row r="136" spans="1:21" x14ac:dyDescent="0.25">
      <c r="A136">
        <f t="shared" si="2"/>
        <v>2.7999999999999825</v>
      </c>
      <c r="B136" t="e">
        <f ca="1">NT_DIST($A136,$B$3,B$5,FALSE)</f>
        <v>#NAME?</v>
      </c>
      <c r="C136" t="e">
        <f ca="1">NT_DIST($A136,$B$3,C$5,FALSE)</f>
        <v>#NAME?</v>
      </c>
      <c r="D136" t="e">
        <f ca="1">NT_DIST($A136,$B$3,D$5,FALSE)</f>
        <v>#NAME?</v>
      </c>
      <c r="E136" t="e">
        <f ca="1">NT_DIST($A136,$B$3,E$5,FALSE)</f>
        <v>#NAME?</v>
      </c>
      <c r="Q136">
        <f t="shared" si="3"/>
        <v>6.7999999999999883</v>
      </c>
      <c r="R136" t="e">
        <f ca="1">NT_DIST($Q136,R$5,$R$3,FALSE)</f>
        <v>#NAME?</v>
      </c>
      <c r="S136" t="e">
        <f ca="1">NT_DIST($Q136,S$5,$R$3,FALSE)</f>
        <v>#NAME?</v>
      </c>
      <c r="T136" t="e">
        <f ca="1">NT_DIST($Q136,T$5,$R$3,FALSE)</f>
        <v>#NAME?</v>
      </c>
      <c r="U136" t="e">
        <f ca="1">NT_DIST($Q136,U$5,$R$3,FALSE)</f>
        <v>#NAME?</v>
      </c>
    </row>
    <row r="137" spans="1:21" x14ac:dyDescent="0.25">
      <c r="A137">
        <f t="shared" si="2"/>
        <v>2.8999999999999826</v>
      </c>
      <c r="B137" t="e">
        <f ca="1">NT_DIST($A137,$B$3,B$5,FALSE)</f>
        <v>#NAME?</v>
      </c>
      <c r="C137" t="e">
        <f ca="1">NT_DIST($A137,$B$3,C$5,FALSE)</f>
        <v>#NAME?</v>
      </c>
      <c r="D137" t="e">
        <f ca="1">NT_DIST($A137,$B$3,D$5,FALSE)</f>
        <v>#NAME?</v>
      </c>
      <c r="E137" t="e">
        <f ca="1">NT_DIST($A137,$B$3,E$5,FALSE)</f>
        <v>#NAME?</v>
      </c>
      <c r="Q137">
        <f t="shared" si="3"/>
        <v>6.8999999999999879</v>
      </c>
      <c r="R137" t="e">
        <f ca="1">NT_DIST($Q137,R$5,$R$3,FALSE)</f>
        <v>#NAME?</v>
      </c>
      <c r="S137" t="e">
        <f ca="1">NT_DIST($Q137,S$5,$R$3,FALSE)</f>
        <v>#NAME?</v>
      </c>
      <c r="T137" t="e">
        <f ca="1">NT_DIST($Q137,T$5,$R$3,FALSE)</f>
        <v>#NAME?</v>
      </c>
      <c r="U137" t="e">
        <f ca="1">NT_DIST($Q137,U$5,$R$3,FALSE)</f>
        <v>#NAME?</v>
      </c>
    </row>
    <row r="138" spans="1:21" x14ac:dyDescent="0.25">
      <c r="A138">
        <f t="shared" ref="A138:A201" si="4">A137+0.1</f>
        <v>2.9999999999999827</v>
      </c>
      <c r="B138" t="e">
        <f ca="1">NT_DIST($A138,$B$3,B$5,FALSE)</f>
        <v>#NAME?</v>
      </c>
      <c r="C138" t="e">
        <f ca="1">NT_DIST($A138,$B$3,C$5,FALSE)</f>
        <v>#NAME?</v>
      </c>
      <c r="D138" t="e">
        <f ca="1">NT_DIST($A138,$B$3,D$5,FALSE)</f>
        <v>#NAME?</v>
      </c>
      <c r="E138" t="e">
        <f ca="1">NT_DIST($A138,$B$3,E$5,FALSE)</f>
        <v>#NAME?</v>
      </c>
      <c r="Q138">
        <f t="shared" ref="Q138:Q201" si="5">Q137+0.1</f>
        <v>6.9999999999999876</v>
      </c>
      <c r="R138" t="e">
        <f ca="1">NT_DIST($Q138,R$5,$R$3,FALSE)</f>
        <v>#NAME?</v>
      </c>
      <c r="S138" t="e">
        <f ca="1">NT_DIST($Q138,S$5,$R$3,FALSE)</f>
        <v>#NAME?</v>
      </c>
      <c r="T138" t="e">
        <f ca="1">NT_DIST($Q138,T$5,$R$3,FALSE)</f>
        <v>#NAME?</v>
      </c>
      <c r="U138" t="e">
        <f ca="1">NT_DIST($Q138,U$5,$R$3,FALSE)</f>
        <v>#NAME?</v>
      </c>
    </row>
    <row r="139" spans="1:21" x14ac:dyDescent="0.25">
      <c r="A139">
        <f t="shared" si="4"/>
        <v>3.0999999999999828</v>
      </c>
      <c r="B139" t="e">
        <f ca="1">NT_DIST($A139,$B$3,B$5,FALSE)</f>
        <v>#NAME?</v>
      </c>
      <c r="C139" t="e">
        <f ca="1">NT_DIST($A139,$B$3,C$5,FALSE)</f>
        <v>#NAME?</v>
      </c>
      <c r="D139" t="e">
        <f ca="1">NT_DIST($A139,$B$3,D$5,FALSE)</f>
        <v>#NAME?</v>
      </c>
      <c r="E139" t="e">
        <f ca="1">NT_DIST($A139,$B$3,E$5,FALSE)</f>
        <v>#NAME?</v>
      </c>
      <c r="Q139">
        <f t="shared" si="5"/>
        <v>7.0999999999999872</v>
      </c>
      <c r="R139" t="e">
        <f ca="1">NT_DIST($Q139,R$5,$R$3,FALSE)</f>
        <v>#NAME?</v>
      </c>
      <c r="S139" t="e">
        <f ca="1">NT_DIST($Q139,S$5,$R$3,FALSE)</f>
        <v>#NAME?</v>
      </c>
      <c r="T139" t="e">
        <f ca="1">NT_DIST($Q139,T$5,$R$3,FALSE)</f>
        <v>#NAME?</v>
      </c>
      <c r="U139" t="e">
        <f ca="1">NT_DIST($Q139,U$5,$R$3,FALSE)</f>
        <v>#NAME?</v>
      </c>
    </row>
    <row r="140" spans="1:21" x14ac:dyDescent="0.25">
      <c r="A140">
        <f t="shared" si="4"/>
        <v>3.1999999999999829</v>
      </c>
      <c r="B140" t="e">
        <f ca="1">NT_DIST($A140,$B$3,B$5,FALSE)</f>
        <v>#NAME?</v>
      </c>
      <c r="C140" t="e">
        <f ca="1">NT_DIST($A140,$B$3,C$5,FALSE)</f>
        <v>#NAME?</v>
      </c>
      <c r="D140" t="e">
        <f ca="1">NT_DIST($A140,$B$3,D$5,FALSE)</f>
        <v>#NAME?</v>
      </c>
      <c r="E140" t="e">
        <f ca="1">NT_DIST($A140,$B$3,E$5,FALSE)</f>
        <v>#NAME?</v>
      </c>
      <c r="Q140">
        <f t="shared" si="5"/>
        <v>7.1999999999999869</v>
      </c>
      <c r="R140" t="e">
        <f ca="1">NT_DIST($Q140,R$5,$R$3,FALSE)</f>
        <v>#NAME?</v>
      </c>
      <c r="S140" t="e">
        <f ca="1">NT_DIST($Q140,S$5,$R$3,FALSE)</f>
        <v>#NAME?</v>
      </c>
      <c r="T140" t="e">
        <f ca="1">NT_DIST($Q140,T$5,$R$3,FALSE)</f>
        <v>#NAME?</v>
      </c>
      <c r="U140" t="e">
        <f ca="1">NT_DIST($Q140,U$5,$R$3,FALSE)</f>
        <v>#NAME?</v>
      </c>
    </row>
    <row r="141" spans="1:21" x14ac:dyDescent="0.25">
      <c r="A141">
        <f t="shared" si="4"/>
        <v>3.2999999999999829</v>
      </c>
      <c r="B141" t="e">
        <f ca="1">NT_DIST($A141,$B$3,B$5,FALSE)</f>
        <v>#NAME?</v>
      </c>
      <c r="C141" t="e">
        <f ca="1">NT_DIST($A141,$B$3,C$5,FALSE)</f>
        <v>#NAME?</v>
      </c>
      <c r="D141" t="e">
        <f ca="1">NT_DIST($A141,$B$3,D$5,FALSE)</f>
        <v>#NAME?</v>
      </c>
      <c r="E141" t="e">
        <f ca="1">NT_DIST($A141,$B$3,E$5,FALSE)</f>
        <v>#NAME?</v>
      </c>
      <c r="Q141">
        <f t="shared" si="5"/>
        <v>7.2999999999999865</v>
      </c>
      <c r="R141" t="e">
        <f ca="1">NT_DIST($Q141,R$5,$R$3,FALSE)</f>
        <v>#NAME?</v>
      </c>
      <c r="S141" t="e">
        <f ca="1">NT_DIST($Q141,S$5,$R$3,FALSE)</f>
        <v>#NAME?</v>
      </c>
      <c r="T141" t="e">
        <f ca="1">NT_DIST($Q141,T$5,$R$3,FALSE)</f>
        <v>#NAME?</v>
      </c>
      <c r="U141" t="e">
        <f ca="1">NT_DIST($Q141,U$5,$R$3,FALSE)</f>
        <v>#NAME?</v>
      </c>
    </row>
    <row r="142" spans="1:21" x14ac:dyDescent="0.25">
      <c r="A142">
        <f t="shared" si="4"/>
        <v>3.399999999999983</v>
      </c>
      <c r="B142" t="e">
        <f ca="1">NT_DIST($A142,$B$3,B$5,FALSE)</f>
        <v>#NAME?</v>
      </c>
      <c r="C142" t="e">
        <f ca="1">NT_DIST($A142,$B$3,C$5,FALSE)</f>
        <v>#NAME?</v>
      </c>
      <c r="D142" t="e">
        <f ca="1">NT_DIST($A142,$B$3,D$5,FALSE)</f>
        <v>#NAME?</v>
      </c>
      <c r="E142" t="e">
        <f ca="1">NT_DIST($A142,$B$3,E$5,FALSE)</f>
        <v>#NAME?</v>
      </c>
      <c r="Q142">
        <f t="shared" si="5"/>
        <v>7.3999999999999861</v>
      </c>
      <c r="R142" t="e">
        <f ca="1">NT_DIST($Q142,R$5,$R$3,FALSE)</f>
        <v>#NAME?</v>
      </c>
      <c r="S142" t="e">
        <f ca="1">NT_DIST($Q142,S$5,$R$3,FALSE)</f>
        <v>#NAME?</v>
      </c>
      <c r="T142" t="e">
        <f ca="1">NT_DIST($Q142,T$5,$R$3,FALSE)</f>
        <v>#NAME?</v>
      </c>
      <c r="U142" t="e">
        <f ca="1">NT_DIST($Q142,U$5,$R$3,FALSE)</f>
        <v>#NAME?</v>
      </c>
    </row>
    <row r="143" spans="1:21" x14ac:dyDescent="0.25">
      <c r="A143">
        <f t="shared" si="4"/>
        <v>3.4999999999999831</v>
      </c>
      <c r="B143" t="e">
        <f ca="1">NT_DIST($A143,$B$3,B$5,FALSE)</f>
        <v>#NAME?</v>
      </c>
      <c r="C143" t="e">
        <f ca="1">NT_DIST($A143,$B$3,C$5,FALSE)</f>
        <v>#NAME?</v>
      </c>
      <c r="D143" t="e">
        <f ca="1">NT_DIST($A143,$B$3,D$5,FALSE)</f>
        <v>#NAME?</v>
      </c>
      <c r="E143" t="e">
        <f ca="1">NT_DIST($A143,$B$3,E$5,FALSE)</f>
        <v>#NAME?</v>
      </c>
      <c r="Q143">
        <f t="shared" si="5"/>
        <v>7.4999999999999858</v>
      </c>
      <c r="R143" t="e">
        <f ca="1">NT_DIST($Q143,R$5,$R$3,FALSE)</f>
        <v>#NAME?</v>
      </c>
      <c r="S143" t="e">
        <f ca="1">NT_DIST($Q143,S$5,$R$3,FALSE)</f>
        <v>#NAME?</v>
      </c>
      <c r="T143" t="e">
        <f ca="1">NT_DIST($Q143,T$5,$R$3,FALSE)</f>
        <v>#NAME?</v>
      </c>
      <c r="U143" t="e">
        <f ca="1">NT_DIST($Q143,U$5,$R$3,FALSE)</f>
        <v>#NAME?</v>
      </c>
    </row>
    <row r="144" spans="1:21" x14ac:dyDescent="0.25">
      <c r="A144">
        <f t="shared" si="4"/>
        <v>3.5999999999999832</v>
      </c>
      <c r="B144" t="e">
        <f ca="1">NT_DIST($A144,$B$3,B$5,FALSE)</f>
        <v>#NAME?</v>
      </c>
      <c r="C144" t="e">
        <f ca="1">NT_DIST($A144,$B$3,C$5,FALSE)</f>
        <v>#NAME?</v>
      </c>
      <c r="D144" t="e">
        <f ca="1">NT_DIST($A144,$B$3,D$5,FALSE)</f>
        <v>#NAME?</v>
      </c>
      <c r="E144" t="e">
        <f ca="1">NT_DIST($A144,$B$3,E$5,FALSE)</f>
        <v>#NAME?</v>
      </c>
      <c r="Q144">
        <f t="shared" si="5"/>
        <v>7.5999999999999854</v>
      </c>
      <c r="R144" t="e">
        <f ca="1">NT_DIST($Q144,R$5,$R$3,FALSE)</f>
        <v>#NAME?</v>
      </c>
      <c r="S144" t="e">
        <f ca="1">NT_DIST($Q144,S$5,$R$3,FALSE)</f>
        <v>#NAME?</v>
      </c>
      <c r="T144" t="e">
        <f ca="1">NT_DIST($Q144,T$5,$R$3,FALSE)</f>
        <v>#NAME?</v>
      </c>
      <c r="U144" t="e">
        <f ca="1">NT_DIST($Q144,U$5,$R$3,FALSE)</f>
        <v>#NAME?</v>
      </c>
    </row>
    <row r="145" spans="1:21" x14ac:dyDescent="0.25">
      <c r="A145">
        <f t="shared" si="4"/>
        <v>3.6999999999999833</v>
      </c>
      <c r="B145" t="e">
        <f ca="1">NT_DIST($A145,$B$3,B$5,FALSE)</f>
        <v>#NAME?</v>
      </c>
      <c r="C145" t="e">
        <f ca="1">NT_DIST($A145,$B$3,C$5,FALSE)</f>
        <v>#NAME?</v>
      </c>
      <c r="D145" t="e">
        <f ca="1">NT_DIST($A145,$B$3,D$5,FALSE)</f>
        <v>#NAME?</v>
      </c>
      <c r="E145" t="e">
        <f ca="1">NT_DIST($A145,$B$3,E$5,FALSE)</f>
        <v>#NAME?</v>
      </c>
      <c r="Q145">
        <f t="shared" si="5"/>
        <v>7.6999999999999851</v>
      </c>
      <c r="R145" t="e">
        <f ca="1">NT_DIST($Q145,R$5,$R$3,FALSE)</f>
        <v>#NAME?</v>
      </c>
      <c r="S145" t="e">
        <f ca="1">NT_DIST($Q145,S$5,$R$3,FALSE)</f>
        <v>#NAME?</v>
      </c>
      <c r="T145" t="e">
        <f ca="1">NT_DIST($Q145,T$5,$R$3,FALSE)</f>
        <v>#NAME?</v>
      </c>
      <c r="U145" t="e">
        <f ca="1">NT_DIST($Q145,U$5,$R$3,FALSE)</f>
        <v>#NAME?</v>
      </c>
    </row>
    <row r="146" spans="1:21" x14ac:dyDescent="0.25">
      <c r="A146">
        <f t="shared" si="4"/>
        <v>3.7999999999999834</v>
      </c>
      <c r="B146" t="e">
        <f ca="1">NT_DIST($A146,$B$3,B$5,FALSE)</f>
        <v>#NAME?</v>
      </c>
      <c r="C146" t="e">
        <f ca="1">NT_DIST($A146,$B$3,C$5,FALSE)</f>
        <v>#NAME?</v>
      </c>
      <c r="D146" t="e">
        <f ca="1">NT_DIST($A146,$B$3,D$5,FALSE)</f>
        <v>#NAME?</v>
      </c>
      <c r="E146" t="e">
        <f ca="1">NT_DIST($A146,$B$3,E$5,FALSE)</f>
        <v>#NAME?</v>
      </c>
      <c r="Q146">
        <f t="shared" si="5"/>
        <v>7.7999999999999847</v>
      </c>
      <c r="R146" t="e">
        <f ca="1">NT_DIST($Q146,R$5,$R$3,FALSE)</f>
        <v>#NAME?</v>
      </c>
      <c r="S146" t="e">
        <f ca="1">NT_DIST($Q146,S$5,$R$3,FALSE)</f>
        <v>#NAME?</v>
      </c>
      <c r="T146" t="e">
        <f ca="1">NT_DIST($Q146,T$5,$R$3,FALSE)</f>
        <v>#NAME?</v>
      </c>
      <c r="U146" t="e">
        <f ca="1">NT_DIST($Q146,U$5,$R$3,FALSE)</f>
        <v>#NAME?</v>
      </c>
    </row>
    <row r="147" spans="1:21" x14ac:dyDescent="0.25">
      <c r="A147">
        <f t="shared" si="4"/>
        <v>3.8999999999999835</v>
      </c>
      <c r="B147" t="e">
        <f ca="1">NT_DIST($A147,$B$3,B$5,FALSE)</f>
        <v>#NAME?</v>
      </c>
      <c r="C147" t="e">
        <f ca="1">NT_DIST($A147,$B$3,C$5,FALSE)</f>
        <v>#NAME?</v>
      </c>
      <c r="D147" t="e">
        <f ca="1">NT_DIST($A147,$B$3,D$5,FALSE)</f>
        <v>#NAME?</v>
      </c>
      <c r="E147" t="e">
        <f ca="1">NT_DIST($A147,$B$3,E$5,FALSE)</f>
        <v>#NAME?</v>
      </c>
      <c r="Q147">
        <f t="shared" si="5"/>
        <v>7.8999999999999844</v>
      </c>
      <c r="R147" t="e">
        <f ca="1">NT_DIST($Q147,R$5,$R$3,FALSE)</f>
        <v>#NAME?</v>
      </c>
      <c r="S147" t="e">
        <f ca="1">NT_DIST($Q147,S$5,$R$3,FALSE)</f>
        <v>#NAME?</v>
      </c>
      <c r="T147" t="e">
        <f ca="1">NT_DIST($Q147,T$5,$R$3,FALSE)</f>
        <v>#NAME?</v>
      </c>
      <c r="U147" t="e">
        <f ca="1">NT_DIST($Q147,U$5,$R$3,FALSE)</f>
        <v>#NAME?</v>
      </c>
    </row>
    <row r="148" spans="1:21" x14ac:dyDescent="0.25">
      <c r="A148">
        <f t="shared" si="4"/>
        <v>3.9999999999999836</v>
      </c>
      <c r="B148" t="e">
        <f ca="1">NT_DIST($A148,$B$3,B$5,FALSE)</f>
        <v>#NAME?</v>
      </c>
      <c r="C148" t="e">
        <f ca="1">NT_DIST($A148,$B$3,C$5,FALSE)</f>
        <v>#NAME?</v>
      </c>
      <c r="D148" t="e">
        <f ca="1">NT_DIST($A148,$B$3,D$5,FALSE)</f>
        <v>#NAME?</v>
      </c>
      <c r="E148" t="e">
        <f ca="1">NT_DIST($A148,$B$3,E$5,FALSE)</f>
        <v>#NAME?</v>
      </c>
      <c r="Q148">
        <f t="shared" si="5"/>
        <v>7.999999999999984</v>
      </c>
      <c r="R148" t="e">
        <f ca="1">NT_DIST($Q148,R$5,$R$3,FALSE)</f>
        <v>#NAME?</v>
      </c>
      <c r="S148" t="e">
        <f ca="1">NT_DIST($Q148,S$5,$R$3,FALSE)</f>
        <v>#NAME?</v>
      </c>
      <c r="T148" t="e">
        <f ca="1">NT_DIST($Q148,T$5,$R$3,FALSE)</f>
        <v>#NAME?</v>
      </c>
      <c r="U148" t="e">
        <f ca="1">NT_DIST($Q148,U$5,$R$3,FALSE)</f>
        <v>#NAME?</v>
      </c>
    </row>
    <row r="149" spans="1:21" x14ac:dyDescent="0.25">
      <c r="A149">
        <f t="shared" si="4"/>
        <v>4.0999999999999837</v>
      </c>
      <c r="B149" t="e">
        <f ca="1">NT_DIST($A149,$B$3,B$5,FALSE)</f>
        <v>#NAME?</v>
      </c>
      <c r="C149" t="e">
        <f ca="1">NT_DIST($A149,$B$3,C$5,FALSE)</f>
        <v>#NAME?</v>
      </c>
      <c r="D149" t="e">
        <f ca="1">NT_DIST($A149,$B$3,D$5,FALSE)</f>
        <v>#NAME?</v>
      </c>
      <c r="E149" t="e">
        <f ca="1">NT_DIST($A149,$B$3,E$5,FALSE)</f>
        <v>#NAME?</v>
      </c>
      <c r="Q149">
        <f t="shared" si="5"/>
        <v>8.0999999999999837</v>
      </c>
      <c r="R149" t="e">
        <f ca="1">NT_DIST($Q149,R$5,$R$3,FALSE)</f>
        <v>#NAME?</v>
      </c>
      <c r="S149" t="e">
        <f ca="1">NT_DIST($Q149,S$5,$R$3,FALSE)</f>
        <v>#NAME?</v>
      </c>
      <c r="T149" t="e">
        <f ca="1">NT_DIST($Q149,T$5,$R$3,FALSE)</f>
        <v>#NAME?</v>
      </c>
      <c r="U149" t="e">
        <f ca="1">NT_DIST($Q149,U$5,$R$3,FALSE)</f>
        <v>#NAME?</v>
      </c>
    </row>
    <row r="150" spans="1:21" x14ac:dyDescent="0.25">
      <c r="A150">
        <f t="shared" si="4"/>
        <v>4.1999999999999833</v>
      </c>
      <c r="B150" t="e">
        <f ca="1">NT_DIST($A150,$B$3,B$5,FALSE)</f>
        <v>#NAME?</v>
      </c>
      <c r="C150" t="e">
        <f ca="1">NT_DIST($A150,$B$3,C$5,FALSE)</f>
        <v>#NAME?</v>
      </c>
      <c r="D150" t="e">
        <f ca="1">NT_DIST($A150,$B$3,D$5,FALSE)</f>
        <v>#NAME?</v>
      </c>
      <c r="E150" t="e">
        <f ca="1">NT_DIST($A150,$B$3,E$5,FALSE)</f>
        <v>#NAME?</v>
      </c>
      <c r="Q150">
        <f t="shared" si="5"/>
        <v>8.1999999999999833</v>
      </c>
      <c r="R150" t="e">
        <f ca="1">NT_DIST($Q150,R$5,$R$3,FALSE)</f>
        <v>#NAME?</v>
      </c>
      <c r="S150" t="e">
        <f ca="1">NT_DIST($Q150,S$5,$R$3,FALSE)</f>
        <v>#NAME?</v>
      </c>
      <c r="T150" t="e">
        <f ca="1">NT_DIST($Q150,T$5,$R$3,FALSE)</f>
        <v>#NAME?</v>
      </c>
      <c r="U150" t="e">
        <f ca="1">NT_DIST($Q150,U$5,$R$3,FALSE)</f>
        <v>#NAME?</v>
      </c>
    </row>
    <row r="151" spans="1:21" x14ac:dyDescent="0.25">
      <c r="A151">
        <f t="shared" si="4"/>
        <v>4.2999999999999829</v>
      </c>
      <c r="B151" t="e">
        <f ca="1">NT_DIST($A151,$B$3,B$5,FALSE)</f>
        <v>#NAME?</v>
      </c>
      <c r="C151" t="e">
        <f ca="1">NT_DIST($A151,$B$3,C$5,FALSE)</f>
        <v>#NAME?</v>
      </c>
      <c r="D151" t="e">
        <f ca="1">NT_DIST($A151,$B$3,D$5,FALSE)</f>
        <v>#NAME?</v>
      </c>
      <c r="E151" t="e">
        <f ca="1">NT_DIST($A151,$B$3,E$5,FALSE)</f>
        <v>#NAME?</v>
      </c>
      <c r="Q151">
        <f t="shared" si="5"/>
        <v>8.2999999999999829</v>
      </c>
      <c r="R151" t="e">
        <f ca="1">NT_DIST($Q151,R$5,$R$3,FALSE)</f>
        <v>#NAME?</v>
      </c>
      <c r="S151" t="e">
        <f ca="1">NT_DIST($Q151,S$5,$R$3,FALSE)</f>
        <v>#NAME?</v>
      </c>
      <c r="T151" t="e">
        <f ca="1">NT_DIST($Q151,T$5,$R$3,FALSE)</f>
        <v>#NAME?</v>
      </c>
      <c r="U151" t="e">
        <f ca="1">NT_DIST($Q151,U$5,$R$3,FALSE)</f>
        <v>#NAME?</v>
      </c>
    </row>
    <row r="152" spans="1:21" x14ac:dyDescent="0.25">
      <c r="A152">
        <f t="shared" si="4"/>
        <v>4.3999999999999826</v>
      </c>
      <c r="B152" t="e">
        <f ca="1">NT_DIST($A152,$B$3,B$5,FALSE)</f>
        <v>#NAME?</v>
      </c>
      <c r="C152" t="e">
        <f ca="1">NT_DIST($A152,$B$3,C$5,FALSE)</f>
        <v>#NAME?</v>
      </c>
      <c r="D152" t="e">
        <f ca="1">NT_DIST($A152,$B$3,D$5,FALSE)</f>
        <v>#NAME?</v>
      </c>
      <c r="E152" t="e">
        <f ca="1">NT_DIST($A152,$B$3,E$5,FALSE)</f>
        <v>#NAME?</v>
      </c>
      <c r="Q152">
        <f t="shared" si="5"/>
        <v>8.3999999999999826</v>
      </c>
      <c r="R152" t="e">
        <f ca="1">NT_DIST($Q152,R$5,$R$3,FALSE)</f>
        <v>#NAME?</v>
      </c>
      <c r="S152" t="e">
        <f ca="1">NT_DIST($Q152,S$5,$R$3,FALSE)</f>
        <v>#NAME?</v>
      </c>
      <c r="T152" t="e">
        <f ca="1">NT_DIST($Q152,T$5,$R$3,FALSE)</f>
        <v>#NAME?</v>
      </c>
      <c r="U152" t="e">
        <f ca="1">NT_DIST($Q152,U$5,$R$3,FALSE)</f>
        <v>#NAME?</v>
      </c>
    </row>
    <row r="153" spans="1:21" x14ac:dyDescent="0.25">
      <c r="A153">
        <f t="shared" si="4"/>
        <v>4.4999999999999822</v>
      </c>
      <c r="B153" t="e">
        <f ca="1">NT_DIST($A153,$B$3,B$5,FALSE)</f>
        <v>#NAME?</v>
      </c>
      <c r="C153" t="e">
        <f ca="1">NT_DIST($A153,$B$3,C$5,FALSE)</f>
        <v>#NAME?</v>
      </c>
      <c r="D153" t="e">
        <f ca="1">NT_DIST($A153,$B$3,D$5,FALSE)</f>
        <v>#NAME?</v>
      </c>
      <c r="E153" t="e">
        <f ca="1">NT_DIST($A153,$B$3,E$5,FALSE)</f>
        <v>#NAME?</v>
      </c>
      <c r="Q153">
        <f t="shared" si="5"/>
        <v>8.4999999999999822</v>
      </c>
      <c r="R153" t="e">
        <f ca="1">NT_DIST($Q153,R$5,$R$3,FALSE)</f>
        <v>#NAME?</v>
      </c>
      <c r="S153" t="e">
        <f ca="1">NT_DIST($Q153,S$5,$R$3,FALSE)</f>
        <v>#NAME?</v>
      </c>
      <c r="T153" t="e">
        <f ca="1">NT_DIST($Q153,T$5,$R$3,FALSE)</f>
        <v>#NAME?</v>
      </c>
      <c r="U153" t="e">
        <f ca="1">NT_DIST($Q153,U$5,$R$3,FALSE)</f>
        <v>#NAME?</v>
      </c>
    </row>
    <row r="154" spans="1:21" x14ac:dyDescent="0.25">
      <c r="A154">
        <f t="shared" si="4"/>
        <v>4.5999999999999819</v>
      </c>
      <c r="B154" t="e">
        <f ca="1">NT_DIST($A154,$B$3,B$5,FALSE)</f>
        <v>#NAME?</v>
      </c>
      <c r="C154" t="e">
        <f ca="1">NT_DIST($A154,$B$3,C$5,FALSE)</f>
        <v>#NAME?</v>
      </c>
      <c r="D154" t="e">
        <f ca="1">NT_DIST($A154,$B$3,D$5,FALSE)</f>
        <v>#NAME?</v>
      </c>
      <c r="E154" t="e">
        <f ca="1">NT_DIST($A154,$B$3,E$5,FALSE)</f>
        <v>#NAME?</v>
      </c>
      <c r="Q154">
        <f t="shared" si="5"/>
        <v>8.5999999999999819</v>
      </c>
      <c r="R154" t="e">
        <f ca="1">NT_DIST($Q154,R$5,$R$3,FALSE)</f>
        <v>#NAME?</v>
      </c>
      <c r="S154" t="e">
        <f ca="1">NT_DIST($Q154,S$5,$R$3,FALSE)</f>
        <v>#NAME?</v>
      </c>
      <c r="T154" t="e">
        <f ca="1">NT_DIST($Q154,T$5,$R$3,FALSE)</f>
        <v>#NAME?</v>
      </c>
      <c r="U154" t="e">
        <f ca="1">NT_DIST($Q154,U$5,$R$3,FALSE)</f>
        <v>#NAME?</v>
      </c>
    </row>
    <row r="155" spans="1:21" x14ac:dyDescent="0.25">
      <c r="A155">
        <f t="shared" si="4"/>
        <v>4.6999999999999815</v>
      </c>
      <c r="B155" t="e">
        <f ca="1">NT_DIST($A155,$B$3,B$5,FALSE)</f>
        <v>#NAME?</v>
      </c>
      <c r="C155" t="e">
        <f ca="1">NT_DIST($A155,$B$3,C$5,FALSE)</f>
        <v>#NAME?</v>
      </c>
      <c r="D155" t="e">
        <f ca="1">NT_DIST($A155,$B$3,D$5,FALSE)</f>
        <v>#NAME?</v>
      </c>
      <c r="E155" t="e">
        <f ca="1">NT_DIST($A155,$B$3,E$5,FALSE)</f>
        <v>#NAME?</v>
      </c>
      <c r="Q155">
        <f t="shared" si="5"/>
        <v>8.6999999999999815</v>
      </c>
      <c r="R155" t="e">
        <f ca="1">NT_DIST($Q155,R$5,$R$3,FALSE)</f>
        <v>#NAME?</v>
      </c>
      <c r="S155" t="e">
        <f ca="1">NT_DIST($Q155,S$5,$R$3,FALSE)</f>
        <v>#NAME?</v>
      </c>
      <c r="T155" t="e">
        <f ca="1">NT_DIST($Q155,T$5,$R$3,FALSE)</f>
        <v>#NAME?</v>
      </c>
      <c r="U155" t="e">
        <f ca="1">NT_DIST($Q155,U$5,$R$3,FALSE)</f>
        <v>#NAME?</v>
      </c>
    </row>
    <row r="156" spans="1:21" x14ac:dyDescent="0.25">
      <c r="A156">
        <f t="shared" si="4"/>
        <v>4.7999999999999812</v>
      </c>
      <c r="B156" t="e">
        <f ca="1">NT_DIST($A156,$B$3,B$5,FALSE)</f>
        <v>#NAME?</v>
      </c>
      <c r="C156" t="e">
        <f ca="1">NT_DIST($A156,$B$3,C$5,FALSE)</f>
        <v>#NAME?</v>
      </c>
      <c r="D156" t="e">
        <f ca="1">NT_DIST($A156,$B$3,D$5,FALSE)</f>
        <v>#NAME?</v>
      </c>
      <c r="E156" t="e">
        <f ca="1">NT_DIST($A156,$B$3,E$5,FALSE)</f>
        <v>#NAME?</v>
      </c>
      <c r="Q156">
        <f t="shared" si="5"/>
        <v>8.7999999999999812</v>
      </c>
      <c r="R156" t="e">
        <f ca="1">NT_DIST($Q156,R$5,$R$3,FALSE)</f>
        <v>#NAME?</v>
      </c>
      <c r="S156" t="e">
        <f ca="1">NT_DIST($Q156,S$5,$R$3,FALSE)</f>
        <v>#NAME?</v>
      </c>
      <c r="T156" t="e">
        <f ca="1">NT_DIST($Q156,T$5,$R$3,FALSE)</f>
        <v>#NAME?</v>
      </c>
      <c r="U156" t="e">
        <f ca="1">NT_DIST($Q156,U$5,$R$3,FALSE)</f>
        <v>#NAME?</v>
      </c>
    </row>
    <row r="157" spans="1:21" x14ac:dyDescent="0.25">
      <c r="A157">
        <f t="shared" si="4"/>
        <v>4.8999999999999808</v>
      </c>
      <c r="B157" t="e">
        <f ca="1">NT_DIST($A157,$B$3,B$5,FALSE)</f>
        <v>#NAME?</v>
      </c>
      <c r="C157" t="e">
        <f ca="1">NT_DIST($A157,$B$3,C$5,FALSE)</f>
        <v>#NAME?</v>
      </c>
      <c r="D157" t="e">
        <f ca="1">NT_DIST($A157,$B$3,D$5,FALSE)</f>
        <v>#NAME?</v>
      </c>
      <c r="E157" t="e">
        <f ca="1">NT_DIST($A157,$B$3,E$5,FALSE)</f>
        <v>#NAME?</v>
      </c>
      <c r="Q157">
        <f t="shared" si="5"/>
        <v>8.8999999999999808</v>
      </c>
      <c r="R157" t="e">
        <f ca="1">NT_DIST($Q157,R$5,$R$3,FALSE)</f>
        <v>#NAME?</v>
      </c>
      <c r="S157" t="e">
        <f ca="1">NT_DIST($Q157,S$5,$R$3,FALSE)</f>
        <v>#NAME?</v>
      </c>
      <c r="T157" t="e">
        <f ca="1">NT_DIST($Q157,T$5,$R$3,FALSE)</f>
        <v>#NAME?</v>
      </c>
      <c r="U157" t="e">
        <f ca="1">NT_DIST($Q157,U$5,$R$3,FALSE)</f>
        <v>#NAME?</v>
      </c>
    </row>
    <row r="158" spans="1:21" x14ac:dyDescent="0.25">
      <c r="A158">
        <f t="shared" si="4"/>
        <v>4.9999999999999805</v>
      </c>
      <c r="B158" t="e">
        <f ca="1">NT_DIST($A158,$B$3,B$5,FALSE)</f>
        <v>#NAME?</v>
      </c>
      <c r="C158" t="e">
        <f ca="1">NT_DIST($A158,$B$3,C$5,FALSE)</f>
        <v>#NAME?</v>
      </c>
      <c r="D158" t="e">
        <f ca="1">NT_DIST($A158,$B$3,D$5,FALSE)</f>
        <v>#NAME?</v>
      </c>
      <c r="E158" t="e">
        <f ca="1">NT_DIST($A158,$B$3,E$5,FALSE)</f>
        <v>#NAME?</v>
      </c>
      <c r="Q158">
        <f t="shared" si="5"/>
        <v>8.9999999999999805</v>
      </c>
      <c r="R158" t="e">
        <f ca="1">NT_DIST($Q158,R$5,$R$3,FALSE)</f>
        <v>#NAME?</v>
      </c>
      <c r="S158" t="e">
        <f ca="1">NT_DIST($Q158,S$5,$R$3,FALSE)</f>
        <v>#NAME?</v>
      </c>
      <c r="T158" t="e">
        <f ca="1">NT_DIST($Q158,T$5,$R$3,FALSE)</f>
        <v>#NAME?</v>
      </c>
      <c r="U158" t="e">
        <f ca="1">NT_DIST($Q158,U$5,$R$3,FALSE)</f>
        <v>#NAME?</v>
      </c>
    </row>
    <row r="159" spans="1:21" x14ac:dyDescent="0.25">
      <c r="A159">
        <f t="shared" si="4"/>
        <v>5.0999999999999801</v>
      </c>
      <c r="B159" t="e">
        <f ca="1">NT_DIST($A159,$B$3,B$5,FALSE)</f>
        <v>#NAME?</v>
      </c>
      <c r="C159" t="e">
        <f ca="1">NT_DIST($A159,$B$3,C$5,FALSE)</f>
        <v>#NAME?</v>
      </c>
      <c r="D159" t="e">
        <f ca="1">NT_DIST($A159,$B$3,D$5,FALSE)</f>
        <v>#NAME?</v>
      </c>
      <c r="E159" t="e">
        <f ca="1">NT_DIST($A159,$B$3,E$5,FALSE)</f>
        <v>#NAME?</v>
      </c>
      <c r="Q159">
        <f t="shared" si="5"/>
        <v>9.0999999999999801</v>
      </c>
      <c r="R159" t="e">
        <f ca="1">NT_DIST($Q159,R$5,$R$3,FALSE)</f>
        <v>#NAME?</v>
      </c>
      <c r="S159" t="e">
        <f ca="1">NT_DIST($Q159,S$5,$R$3,FALSE)</f>
        <v>#NAME?</v>
      </c>
      <c r="T159" t="e">
        <f ca="1">NT_DIST($Q159,T$5,$R$3,FALSE)</f>
        <v>#NAME?</v>
      </c>
      <c r="U159" t="e">
        <f ca="1">NT_DIST($Q159,U$5,$R$3,FALSE)</f>
        <v>#NAME?</v>
      </c>
    </row>
    <row r="160" spans="1:21" x14ac:dyDescent="0.25">
      <c r="A160">
        <f t="shared" si="4"/>
        <v>5.1999999999999797</v>
      </c>
      <c r="B160" t="e">
        <f ca="1">NT_DIST($A160,$B$3,B$5,FALSE)</f>
        <v>#NAME?</v>
      </c>
      <c r="C160" t="e">
        <f ca="1">NT_DIST($A160,$B$3,C$5,FALSE)</f>
        <v>#NAME?</v>
      </c>
      <c r="D160" t="e">
        <f ca="1">NT_DIST($A160,$B$3,D$5,FALSE)</f>
        <v>#NAME?</v>
      </c>
      <c r="E160" t="e">
        <f ca="1">NT_DIST($A160,$B$3,E$5,FALSE)</f>
        <v>#NAME?</v>
      </c>
      <c r="Q160">
        <f t="shared" si="5"/>
        <v>9.1999999999999797</v>
      </c>
      <c r="R160" t="e">
        <f ca="1">NT_DIST($Q160,R$5,$R$3,FALSE)</f>
        <v>#NAME?</v>
      </c>
      <c r="S160" t="e">
        <f ca="1">NT_DIST($Q160,S$5,$R$3,FALSE)</f>
        <v>#NAME?</v>
      </c>
      <c r="T160" t="e">
        <f ca="1">NT_DIST($Q160,T$5,$R$3,FALSE)</f>
        <v>#NAME?</v>
      </c>
      <c r="U160" t="e">
        <f ca="1">NT_DIST($Q160,U$5,$R$3,FALSE)</f>
        <v>#NAME?</v>
      </c>
    </row>
    <row r="161" spans="1:21" x14ac:dyDescent="0.25">
      <c r="A161">
        <f t="shared" si="4"/>
        <v>5.2999999999999794</v>
      </c>
      <c r="B161" t="e">
        <f ca="1">NT_DIST($A161,$B$3,B$5,FALSE)</f>
        <v>#NAME?</v>
      </c>
      <c r="C161" t="e">
        <f ca="1">NT_DIST($A161,$B$3,C$5,FALSE)</f>
        <v>#NAME?</v>
      </c>
      <c r="D161" t="e">
        <f ca="1">NT_DIST($A161,$B$3,D$5,FALSE)</f>
        <v>#NAME?</v>
      </c>
      <c r="E161" t="e">
        <f ca="1">NT_DIST($A161,$B$3,E$5,FALSE)</f>
        <v>#NAME?</v>
      </c>
      <c r="Q161">
        <f t="shared" si="5"/>
        <v>9.2999999999999794</v>
      </c>
      <c r="R161" t="e">
        <f ca="1">NT_DIST($Q161,R$5,$R$3,FALSE)</f>
        <v>#NAME?</v>
      </c>
      <c r="S161" t="e">
        <f ca="1">NT_DIST($Q161,S$5,$R$3,FALSE)</f>
        <v>#NAME?</v>
      </c>
      <c r="T161" t="e">
        <f ca="1">NT_DIST($Q161,T$5,$R$3,FALSE)</f>
        <v>#NAME?</v>
      </c>
      <c r="U161" t="e">
        <f ca="1">NT_DIST($Q161,U$5,$R$3,FALSE)</f>
        <v>#NAME?</v>
      </c>
    </row>
    <row r="162" spans="1:21" x14ac:dyDescent="0.25">
      <c r="A162">
        <f t="shared" si="4"/>
        <v>5.399999999999979</v>
      </c>
      <c r="B162" t="e">
        <f ca="1">NT_DIST($A162,$B$3,B$5,FALSE)</f>
        <v>#NAME?</v>
      </c>
      <c r="C162" t="e">
        <f ca="1">NT_DIST($A162,$B$3,C$5,FALSE)</f>
        <v>#NAME?</v>
      </c>
      <c r="D162" t="e">
        <f ca="1">NT_DIST($A162,$B$3,D$5,FALSE)</f>
        <v>#NAME?</v>
      </c>
      <c r="E162" t="e">
        <f ca="1">NT_DIST($A162,$B$3,E$5,FALSE)</f>
        <v>#NAME?</v>
      </c>
      <c r="Q162">
        <f t="shared" si="5"/>
        <v>9.399999999999979</v>
      </c>
      <c r="R162" t="e">
        <f ca="1">NT_DIST($Q162,R$5,$R$3,FALSE)</f>
        <v>#NAME?</v>
      </c>
      <c r="S162" t="e">
        <f ca="1">NT_DIST($Q162,S$5,$R$3,FALSE)</f>
        <v>#NAME?</v>
      </c>
      <c r="T162" t="e">
        <f ca="1">NT_DIST($Q162,T$5,$R$3,FALSE)</f>
        <v>#NAME?</v>
      </c>
      <c r="U162" t="e">
        <f ca="1">NT_DIST($Q162,U$5,$R$3,FALSE)</f>
        <v>#NAME?</v>
      </c>
    </row>
    <row r="163" spans="1:21" x14ac:dyDescent="0.25">
      <c r="A163">
        <f t="shared" si="4"/>
        <v>5.4999999999999787</v>
      </c>
      <c r="B163" t="e">
        <f ca="1">NT_DIST($A163,$B$3,B$5,FALSE)</f>
        <v>#NAME?</v>
      </c>
      <c r="C163" t="e">
        <f ca="1">NT_DIST($A163,$B$3,C$5,FALSE)</f>
        <v>#NAME?</v>
      </c>
      <c r="D163" t="e">
        <f ca="1">NT_DIST($A163,$B$3,D$5,FALSE)</f>
        <v>#NAME?</v>
      </c>
      <c r="E163" t="e">
        <f ca="1">NT_DIST($A163,$B$3,E$5,FALSE)</f>
        <v>#NAME?</v>
      </c>
      <c r="Q163">
        <f t="shared" si="5"/>
        <v>9.4999999999999787</v>
      </c>
      <c r="R163" t="e">
        <f ca="1">NT_DIST($Q163,R$5,$R$3,FALSE)</f>
        <v>#NAME?</v>
      </c>
      <c r="S163" t="e">
        <f ca="1">NT_DIST($Q163,S$5,$R$3,FALSE)</f>
        <v>#NAME?</v>
      </c>
      <c r="T163" t="e">
        <f ca="1">NT_DIST($Q163,T$5,$R$3,FALSE)</f>
        <v>#NAME?</v>
      </c>
      <c r="U163" t="e">
        <f ca="1">NT_DIST($Q163,U$5,$R$3,FALSE)</f>
        <v>#NAME?</v>
      </c>
    </row>
    <row r="164" spans="1:21" x14ac:dyDescent="0.25">
      <c r="A164">
        <f t="shared" si="4"/>
        <v>5.5999999999999783</v>
      </c>
      <c r="B164" t="e">
        <f ca="1">NT_DIST($A164,$B$3,B$5,FALSE)</f>
        <v>#NAME?</v>
      </c>
      <c r="C164" t="e">
        <f ca="1">NT_DIST($A164,$B$3,C$5,FALSE)</f>
        <v>#NAME?</v>
      </c>
      <c r="D164" t="e">
        <f ca="1">NT_DIST($A164,$B$3,D$5,FALSE)</f>
        <v>#NAME?</v>
      </c>
      <c r="E164" t="e">
        <f ca="1">NT_DIST($A164,$B$3,E$5,FALSE)</f>
        <v>#NAME?</v>
      </c>
      <c r="Q164">
        <f t="shared" si="5"/>
        <v>9.5999999999999783</v>
      </c>
      <c r="R164" t="e">
        <f ca="1">NT_DIST($Q164,R$5,$R$3,FALSE)</f>
        <v>#NAME?</v>
      </c>
      <c r="S164" t="e">
        <f ca="1">NT_DIST($Q164,S$5,$R$3,FALSE)</f>
        <v>#NAME?</v>
      </c>
      <c r="T164" t="e">
        <f ca="1">NT_DIST($Q164,T$5,$R$3,FALSE)</f>
        <v>#NAME?</v>
      </c>
      <c r="U164" t="e">
        <f ca="1">NT_DIST($Q164,U$5,$R$3,FALSE)</f>
        <v>#NAME?</v>
      </c>
    </row>
    <row r="165" spans="1:21" x14ac:dyDescent="0.25">
      <c r="A165">
        <f t="shared" si="4"/>
        <v>5.699999999999978</v>
      </c>
      <c r="B165" t="e">
        <f ca="1">NT_DIST($A165,$B$3,B$5,FALSE)</f>
        <v>#NAME?</v>
      </c>
      <c r="C165" t="e">
        <f ca="1">NT_DIST($A165,$B$3,C$5,FALSE)</f>
        <v>#NAME?</v>
      </c>
      <c r="D165" t="e">
        <f ca="1">NT_DIST($A165,$B$3,D$5,FALSE)</f>
        <v>#NAME?</v>
      </c>
      <c r="E165" t="e">
        <f ca="1">NT_DIST($A165,$B$3,E$5,FALSE)</f>
        <v>#NAME?</v>
      </c>
      <c r="Q165">
        <f t="shared" si="5"/>
        <v>9.699999999999978</v>
      </c>
      <c r="R165" t="e">
        <f ca="1">NT_DIST($Q165,R$5,$R$3,FALSE)</f>
        <v>#NAME?</v>
      </c>
      <c r="S165" t="e">
        <f ca="1">NT_DIST($Q165,S$5,$R$3,FALSE)</f>
        <v>#NAME?</v>
      </c>
      <c r="T165" t="e">
        <f ca="1">NT_DIST($Q165,T$5,$R$3,FALSE)</f>
        <v>#NAME?</v>
      </c>
      <c r="U165" t="e">
        <f ca="1">NT_DIST($Q165,U$5,$R$3,FALSE)</f>
        <v>#NAME?</v>
      </c>
    </row>
    <row r="166" spans="1:21" x14ac:dyDescent="0.25">
      <c r="A166">
        <f t="shared" si="4"/>
        <v>5.7999999999999776</v>
      </c>
      <c r="B166" t="e">
        <f ca="1">NT_DIST($A166,$B$3,B$5,FALSE)</f>
        <v>#NAME?</v>
      </c>
      <c r="C166" t="e">
        <f ca="1">NT_DIST($A166,$B$3,C$5,FALSE)</f>
        <v>#NAME?</v>
      </c>
      <c r="D166" t="e">
        <f ca="1">NT_DIST($A166,$B$3,D$5,FALSE)</f>
        <v>#NAME?</v>
      </c>
      <c r="E166" t="e">
        <f ca="1">NT_DIST($A166,$B$3,E$5,FALSE)</f>
        <v>#NAME?</v>
      </c>
      <c r="Q166">
        <f t="shared" si="5"/>
        <v>9.7999999999999776</v>
      </c>
      <c r="R166" t="e">
        <f ca="1">NT_DIST($Q166,R$5,$R$3,FALSE)</f>
        <v>#NAME?</v>
      </c>
      <c r="S166" t="e">
        <f ca="1">NT_DIST($Q166,S$5,$R$3,FALSE)</f>
        <v>#NAME?</v>
      </c>
      <c r="T166" t="e">
        <f ca="1">NT_DIST($Q166,T$5,$R$3,FALSE)</f>
        <v>#NAME?</v>
      </c>
      <c r="U166" t="e">
        <f ca="1">NT_DIST($Q166,U$5,$R$3,FALSE)</f>
        <v>#NAME?</v>
      </c>
    </row>
    <row r="167" spans="1:21" x14ac:dyDescent="0.25">
      <c r="A167">
        <f t="shared" si="4"/>
        <v>5.8999999999999773</v>
      </c>
      <c r="B167" t="e">
        <f ca="1">NT_DIST($A167,$B$3,B$5,FALSE)</f>
        <v>#NAME?</v>
      </c>
      <c r="C167" t="e">
        <f ca="1">NT_DIST($A167,$B$3,C$5,FALSE)</f>
        <v>#NAME?</v>
      </c>
      <c r="D167" t="e">
        <f ca="1">NT_DIST($A167,$B$3,D$5,FALSE)</f>
        <v>#NAME?</v>
      </c>
      <c r="E167" t="e">
        <f ca="1">NT_DIST($A167,$B$3,E$5,FALSE)</f>
        <v>#NAME?</v>
      </c>
      <c r="Q167">
        <f t="shared" si="5"/>
        <v>9.8999999999999773</v>
      </c>
      <c r="R167" t="e">
        <f ca="1">NT_DIST($Q167,R$5,$R$3,FALSE)</f>
        <v>#NAME?</v>
      </c>
      <c r="S167" t="e">
        <f ca="1">NT_DIST($Q167,S$5,$R$3,FALSE)</f>
        <v>#NAME?</v>
      </c>
      <c r="T167" t="e">
        <f ca="1">NT_DIST($Q167,T$5,$R$3,FALSE)</f>
        <v>#NAME?</v>
      </c>
      <c r="U167" t="e">
        <f ca="1">NT_DIST($Q167,U$5,$R$3,FALSE)</f>
        <v>#NAME?</v>
      </c>
    </row>
    <row r="168" spans="1:21" x14ac:dyDescent="0.25">
      <c r="A168">
        <f t="shared" si="4"/>
        <v>5.9999999999999769</v>
      </c>
      <c r="B168" t="e">
        <f ca="1">NT_DIST($A168,$B$3,B$5,FALSE)</f>
        <v>#NAME?</v>
      </c>
      <c r="C168" t="e">
        <f ca="1">NT_DIST($A168,$B$3,C$5,FALSE)</f>
        <v>#NAME?</v>
      </c>
      <c r="D168" t="e">
        <f ca="1">NT_DIST($A168,$B$3,D$5,FALSE)</f>
        <v>#NAME?</v>
      </c>
      <c r="E168" t="e">
        <f ca="1">NT_DIST($A168,$B$3,E$5,FALSE)</f>
        <v>#NAME?</v>
      </c>
      <c r="Q168">
        <f t="shared" si="5"/>
        <v>9.9999999999999769</v>
      </c>
      <c r="R168" t="e">
        <f ca="1">NT_DIST($Q168,R$5,$R$3,FALSE)</f>
        <v>#NAME?</v>
      </c>
      <c r="S168" t="e">
        <f ca="1">NT_DIST($Q168,S$5,$R$3,FALSE)</f>
        <v>#NAME?</v>
      </c>
      <c r="T168" t="e">
        <f ca="1">NT_DIST($Q168,T$5,$R$3,FALSE)</f>
        <v>#NAME?</v>
      </c>
      <c r="U168" t="e">
        <f ca="1">NT_DIST($Q168,U$5,$R$3,FALSE)</f>
        <v>#NAME?</v>
      </c>
    </row>
    <row r="169" spans="1:21" x14ac:dyDescent="0.25">
      <c r="A169">
        <f t="shared" si="4"/>
        <v>6.0999999999999766</v>
      </c>
      <c r="B169" t="e">
        <f ca="1">NT_DIST($A169,$B$3,B$5,FALSE)</f>
        <v>#NAME?</v>
      </c>
      <c r="C169" t="e">
        <f ca="1">NT_DIST($A169,$B$3,C$5,FALSE)</f>
        <v>#NAME?</v>
      </c>
      <c r="D169" t="e">
        <f ca="1">NT_DIST($A169,$B$3,D$5,FALSE)</f>
        <v>#NAME?</v>
      </c>
      <c r="E169" t="e">
        <f ca="1">NT_DIST($A169,$B$3,E$5,FALSE)</f>
        <v>#NAME?</v>
      </c>
      <c r="Q169">
        <f t="shared" si="5"/>
        <v>10.099999999999977</v>
      </c>
      <c r="R169" t="e">
        <f ca="1">NT_DIST($Q169,R$5,$R$3,FALSE)</f>
        <v>#NAME?</v>
      </c>
      <c r="S169" t="e">
        <f ca="1">NT_DIST($Q169,S$5,$R$3,FALSE)</f>
        <v>#NAME?</v>
      </c>
      <c r="T169" t="e">
        <f ca="1">NT_DIST($Q169,T$5,$R$3,FALSE)</f>
        <v>#NAME?</v>
      </c>
      <c r="U169" t="e">
        <f ca="1">NT_DIST($Q169,U$5,$R$3,FALSE)</f>
        <v>#NAME?</v>
      </c>
    </row>
    <row r="170" spans="1:21" x14ac:dyDescent="0.25">
      <c r="A170">
        <f t="shared" si="4"/>
        <v>6.1999999999999762</v>
      </c>
      <c r="B170" t="e">
        <f ca="1">NT_DIST($A170,$B$3,B$5,FALSE)</f>
        <v>#NAME?</v>
      </c>
      <c r="C170" t="e">
        <f ca="1">NT_DIST($A170,$B$3,C$5,FALSE)</f>
        <v>#NAME?</v>
      </c>
      <c r="D170" t="e">
        <f ca="1">NT_DIST($A170,$B$3,D$5,FALSE)</f>
        <v>#NAME?</v>
      </c>
      <c r="E170" t="e">
        <f ca="1">NT_DIST($A170,$B$3,E$5,FALSE)</f>
        <v>#NAME?</v>
      </c>
      <c r="Q170">
        <f t="shared" si="5"/>
        <v>10.199999999999976</v>
      </c>
      <c r="R170" t="e">
        <f ca="1">NT_DIST($Q170,R$5,$R$3,FALSE)</f>
        <v>#NAME?</v>
      </c>
      <c r="S170" t="e">
        <f ca="1">NT_DIST($Q170,S$5,$R$3,FALSE)</f>
        <v>#NAME?</v>
      </c>
      <c r="T170" t="e">
        <f ca="1">NT_DIST($Q170,T$5,$R$3,FALSE)</f>
        <v>#NAME?</v>
      </c>
      <c r="U170" t="e">
        <f ca="1">NT_DIST($Q170,U$5,$R$3,FALSE)</f>
        <v>#NAME?</v>
      </c>
    </row>
    <row r="171" spans="1:21" x14ac:dyDescent="0.25">
      <c r="A171">
        <f t="shared" si="4"/>
        <v>6.2999999999999758</v>
      </c>
      <c r="B171" t="e">
        <f ca="1">NT_DIST($A171,$B$3,B$5,FALSE)</f>
        <v>#NAME?</v>
      </c>
      <c r="C171" t="e">
        <f ca="1">NT_DIST($A171,$B$3,C$5,FALSE)</f>
        <v>#NAME?</v>
      </c>
      <c r="D171" t="e">
        <f ca="1">NT_DIST($A171,$B$3,D$5,FALSE)</f>
        <v>#NAME?</v>
      </c>
      <c r="E171" t="e">
        <f ca="1">NT_DIST($A171,$B$3,E$5,FALSE)</f>
        <v>#NAME?</v>
      </c>
      <c r="Q171">
        <f t="shared" si="5"/>
        <v>10.299999999999976</v>
      </c>
      <c r="R171" t="e">
        <f ca="1">NT_DIST($Q171,R$5,$R$3,FALSE)</f>
        <v>#NAME?</v>
      </c>
      <c r="S171" t="e">
        <f ca="1">NT_DIST($Q171,S$5,$R$3,FALSE)</f>
        <v>#NAME?</v>
      </c>
      <c r="T171" t="e">
        <f ca="1">NT_DIST($Q171,T$5,$R$3,FALSE)</f>
        <v>#NAME?</v>
      </c>
      <c r="U171" t="e">
        <f ca="1">NT_DIST($Q171,U$5,$R$3,FALSE)</f>
        <v>#NAME?</v>
      </c>
    </row>
    <row r="172" spans="1:21" x14ac:dyDescent="0.25">
      <c r="A172">
        <f t="shared" si="4"/>
        <v>6.3999999999999755</v>
      </c>
      <c r="B172" t="e">
        <f ca="1">NT_DIST($A172,$B$3,B$5,FALSE)</f>
        <v>#NAME?</v>
      </c>
      <c r="C172" t="e">
        <f ca="1">NT_DIST($A172,$B$3,C$5,FALSE)</f>
        <v>#NAME?</v>
      </c>
      <c r="D172" t="e">
        <f ca="1">NT_DIST($A172,$B$3,D$5,FALSE)</f>
        <v>#NAME?</v>
      </c>
      <c r="E172" t="e">
        <f ca="1">NT_DIST($A172,$B$3,E$5,FALSE)</f>
        <v>#NAME?</v>
      </c>
      <c r="Q172">
        <f t="shared" si="5"/>
        <v>10.399999999999975</v>
      </c>
      <c r="R172" t="e">
        <f ca="1">NT_DIST($Q172,R$5,$R$3,FALSE)</f>
        <v>#NAME?</v>
      </c>
      <c r="S172" t="e">
        <f ca="1">NT_DIST($Q172,S$5,$R$3,FALSE)</f>
        <v>#NAME?</v>
      </c>
      <c r="T172" t="e">
        <f ca="1">NT_DIST($Q172,T$5,$R$3,FALSE)</f>
        <v>#NAME?</v>
      </c>
      <c r="U172" t="e">
        <f ca="1">NT_DIST($Q172,U$5,$R$3,FALSE)</f>
        <v>#NAME?</v>
      </c>
    </row>
    <row r="173" spans="1:21" x14ac:dyDescent="0.25">
      <c r="A173">
        <f t="shared" si="4"/>
        <v>6.4999999999999751</v>
      </c>
      <c r="B173" t="e">
        <f ca="1">NT_DIST($A173,$B$3,B$5,FALSE)</f>
        <v>#NAME?</v>
      </c>
      <c r="C173" t="e">
        <f ca="1">NT_DIST($A173,$B$3,C$5,FALSE)</f>
        <v>#NAME?</v>
      </c>
      <c r="D173" t="e">
        <f ca="1">NT_DIST($A173,$B$3,D$5,FALSE)</f>
        <v>#NAME?</v>
      </c>
      <c r="E173" t="e">
        <f ca="1">NT_DIST($A173,$B$3,E$5,FALSE)</f>
        <v>#NAME?</v>
      </c>
      <c r="Q173">
        <f t="shared" si="5"/>
        <v>10.499999999999975</v>
      </c>
      <c r="R173" t="e">
        <f ca="1">NT_DIST($Q173,R$5,$R$3,FALSE)</f>
        <v>#NAME?</v>
      </c>
      <c r="S173" t="e">
        <f ca="1">NT_DIST($Q173,S$5,$R$3,FALSE)</f>
        <v>#NAME?</v>
      </c>
      <c r="T173" t="e">
        <f ca="1">NT_DIST($Q173,T$5,$R$3,FALSE)</f>
        <v>#NAME?</v>
      </c>
      <c r="U173" t="e">
        <f ca="1">NT_DIST($Q173,U$5,$R$3,FALSE)</f>
        <v>#NAME?</v>
      </c>
    </row>
    <row r="174" spans="1:21" x14ac:dyDescent="0.25">
      <c r="A174">
        <f t="shared" si="4"/>
        <v>6.5999999999999748</v>
      </c>
      <c r="B174" t="e">
        <f ca="1">NT_DIST($A174,$B$3,B$5,FALSE)</f>
        <v>#NAME?</v>
      </c>
      <c r="C174" t="e">
        <f ca="1">NT_DIST($A174,$B$3,C$5,FALSE)</f>
        <v>#NAME?</v>
      </c>
      <c r="D174" t="e">
        <f ca="1">NT_DIST($A174,$B$3,D$5,FALSE)</f>
        <v>#NAME?</v>
      </c>
      <c r="E174" t="e">
        <f ca="1">NT_DIST($A174,$B$3,E$5,FALSE)</f>
        <v>#NAME?</v>
      </c>
      <c r="Q174">
        <f t="shared" si="5"/>
        <v>10.599999999999975</v>
      </c>
      <c r="R174" t="e">
        <f ca="1">NT_DIST($Q174,R$5,$R$3,FALSE)</f>
        <v>#NAME?</v>
      </c>
      <c r="S174" t="e">
        <f ca="1">NT_DIST($Q174,S$5,$R$3,FALSE)</f>
        <v>#NAME?</v>
      </c>
      <c r="T174" t="e">
        <f ca="1">NT_DIST($Q174,T$5,$R$3,FALSE)</f>
        <v>#NAME?</v>
      </c>
      <c r="U174" t="e">
        <f ca="1">NT_DIST($Q174,U$5,$R$3,FALSE)</f>
        <v>#NAME?</v>
      </c>
    </row>
    <row r="175" spans="1:21" x14ac:dyDescent="0.25">
      <c r="A175">
        <f t="shared" si="4"/>
        <v>6.6999999999999744</v>
      </c>
      <c r="B175" t="e">
        <f ca="1">NT_DIST($A175,$B$3,B$5,FALSE)</f>
        <v>#NAME?</v>
      </c>
      <c r="C175" t="e">
        <f ca="1">NT_DIST($A175,$B$3,C$5,FALSE)</f>
        <v>#NAME?</v>
      </c>
      <c r="D175" t="e">
        <f ca="1">NT_DIST($A175,$B$3,D$5,FALSE)</f>
        <v>#NAME?</v>
      </c>
      <c r="E175" t="e">
        <f ca="1">NT_DIST($A175,$B$3,E$5,FALSE)</f>
        <v>#NAME?</v>
      </c>
      <c r="Q175">
        <f t="shared" si="5"/>
        <v>10.699999999999974</v>
      </c>
      <c r="R175" t="e">
        <f ca="1">NT_DIST($Q175,R$5,$R$3,FALSE)</f>
        <v>#NAME?</v>
      </c>
      <c r="S175" t="e">
        <f ca="1">NT_DIST($Q175,S$5,$R$3,FALSE)</f>
        <v>#NAME?</v>
      </c>
      <c r="T175" t="e">
        <f ca="1">NT_DIST($Q175,T$5,$R$3,FALSE)</f>
        <v>#NAME?</v>
      </c>
      <c r="U175" t="e">
        <f ca="1">NT_DIST($Q175,U$5,$R$3,FALSE)</f>
        <v>#NAME?</v>
      </c>
    </row>
    <row r="176" spans="1:21" x14ac:dyDescent="0.25">
      <c r="A176">
        <f t="shared" si="4"/>
        <v>6.7999999999999741</v>
      </c>
      <c r="B176" t="e">
        <f ca="1">NT_DIST($A176,$B$3,B$5,FALSE)</f>
        <v>#NAME?</v>
      </c>
      <c r="C176" t="e">
        <f ca="1">NT_DIST($A176,$B$3,C$5,FALSE)</f>
        <v>#NAME?</v>
      </c>
      <c r="D176" t="e">
        <f ca="1">NT_DIST($A176,$B$3,D$5,FALSE)</f>
        <v>#NAME?</v>
      </c>
      <c r="E176" t="e">
        <f ca="1">NT_DIST($A176,$B$3,E$5,FALSE)</f>
        <v>#NAME?</v>
      </c>
      <c r="Q176">
        <f t="shared" si="5"/>
        <v>10.799999999999974</v>
      </c>
      <c r="R176" t="e">
        <f ca="1">NT_DIST($Q176,R$5,$R$3,FALSE)</f>
        <v>#NAME?</v>
      </c>
      <c r="S176" t="e">
        <f ca="1">NT_DIST($Q176,S$5,$R$3,FALSE)</f>
        <v>#NAME?</v>
      </c>
      <c r="T176" t="e">
        <f ca="1">NT_DIST($Q176,T$5,$R$3,FALSE)</f>
        <v>#NAME?</v>
      </c>
      <c r="U176" t="e">
        <f ca="1">NT_DIST($Q176,U$5,$R$3,FALSE)</f>
        <v>#NAME?</v>
      </c>
    </row>
    <row r="177" spans="1:21" x14ac:dyDescent="0.25">
      <c r="A177">
        <f t="shared" si="4"/>
        <v>6.8999999999999737</v>
      </c>
      <c r="B177" t="e">
        <f ca="1">NT_DIST($A177,$B$3,B$5,FALSE)</f>
        <v>#NAME?</v>
      </c>
      <c r="C177" t="e">
        <f ca="1">NT_DIST($A177,$B$3,C$5,FALSE)</f>
        <v>#NAME?</v>
      </c>
      <c r="D177" t="e">
        <f ca="1">NT_DIST($A177,$B$3,D$5,FALSE)</f>
        <v>#NAME?</v>
      </c>
      <c r="E177" t="e">
        <f ca="1">NT_DIST($A177,$B$3,E$5,FALSE)</f>
        <v>#NAME?</v>
      </c>
      <c r="Q177">
        <f t="shared" si="5"/>
        <v>10.899999999999974</v>
      </c>
      <c r="R177" t="e">
        <f ca="1">NT_DIST($Q177,R$5,$R$3,FALSE)</f>
        <v>#NAME?</v>
      </c>
      <c r="S177" t="e">
        <f ca="1">NT_DIST($Q177,S$5,$R$3,FALSE)</f>
        <v>#NAME?</v>
      </c>
      <c r="T177" t="e">
        <f ca="1">NT_DIST($Q177,T$5,$R$3,FALSE)</f>
        <v>#NAME?</v>
      </c>
      <c r="U177" t="e">
        <f ca="1">NT_DIST($Q177,U$5,$R$3,FALSE)</f>
        <v>#NAME?</v>
      </c>
    </row>
    <row r="178" spans="1:21" x14ac:dyDescent="0.25">
      <c r="A178">
        <f t="shared" si="4"/>
        <v>6.9999999999999734</v>
      </c>
      <c r="B178" t="e">
        <f ca="1">NT_DIST($A178,$B$3,B$5,FALSE)</f>
        <v>#NAME?</v>
      </c>
      <c r="C178" t="e">
        <f ca="1">NT_DIST($A178,$B$3,C$5,FALSE)</f>
        <v>#NAME?</v>
      </c>
      <c r="D178" t="e">
        <f ca="1">NT_DIST($A178,$B$3,D$5,FALSE)</f>
        <v>#NAME?</v>
      </c>
      <c r="E178" t="e">
        <f ca="1">NT_DIST($A178,$B$3,E$5,FALSE)</f>
        <v>#NAME?</v>
      </c>
      <c r="Q178">
        <f t="shared" si="5"/>
        <v>10.999999999999973</v>
      </c>
      <c r="R178" t="e">
        <f ca="1">NT_DIST($Q178,R$5,$R$3,FALSE)</f>
        <v>#NAME?</v>
      </c>
      <c r="S178" t="e">
        <f ca="1">NT_DIST($Q178,S$5,$R$3,FALSE)</f>
        <v>#NAME?</v>
      </c>
      <c r="T178" t="e">
        <f ca="1">NT_DIST($Q178,T$5,$R$3,FALSE)</f>
        <v>#NAME?</v>
      </c>
      <c r="U178" t="e">
        <f ca="1">NT_DIST($Q178,U$5,$R$3,FALSE)</f>
        <v>#NAME?</v>
      </c>
    </row>
    <row r="179" spans="1:21" x14ac:dyDescent="0.25">
      <c r="A179">
        <f t="shared" si="4"/>
        <v>7.099999999999973</v>
      </c>
      <c r="B179" t="e">
        <f ca="1">NT_DIST($A179,$B$3,B$5,FALSE)</f>
        <v>#NAME?</v>
      </c>
      <c r="C179" t="e">
        <f ca="1">NT_DIST($A179,$B$3,C$5,FALSE)</f>
        <v>#NAME?</v>
      </c>
      <c r="D179" t="e">
        <f ca="1">NT_DIST($A179,$B$3,D$5,FALSE)</f>
        <v>#NAME?</v>
      </c>
      <c r="E179" t="e">
        <f ca="1">NT_DIST($A179,$B$3,E$5,FALSE)</f>
        <v>#NAME?</v>
      </c>
      <c r="Q179">
        <f t="shared" si="5"/>
        <v>11.099999999999973</v>
      </c>
      <c r="R179" t="e">
        <f ca="1">NT_DIST($Q179,R$5,$R$3,FALSE)</f>
        <v>#NAME?</v>
      </c>
      <c r="S179" t="e">
        <f ca="1">NT_DIST($Q179,S$5,$R$3,FALSE)</f>
        <v>#NAME?</v>
      </c>
      <c r="T179" t="e">
        <f ca="1">NT_DIST($Q179,T$5,$R$3,FALSE)</f>
        <v>#NAME?</v>
      </c>
      <c r="U179" t="e">
        <f ca="1">NT_DIST($Q179,U$5,$R$3,FALSE)</f>
        <v>#NAME?</v>
      </c>
    </row>
    <row r="180" spans="1:21" x14ac:dyDescent="0.25">
      <c r="A180">
        <f t="shared" si="4"/>
        <v>7.1999999999999726</v>
      </c>
      <c r="B180" t="e">
        <f ca="1">NT_DIST($A180,$B$3,B$5,FALSE)</f>
        <v>#NAME?</v>
      </c>
      <c r="C180" t="e">
        <f ca="1">NT_DIST($A180,$B$3,C$5,FALSE)</f>
        <v>#NAME?</v>
      </c>
      <c r="D180" t="e">
        <f ca="1">NT_DIST($A180,$B$3,D$5,FALSE)</f>
        <v>#NAME?</v>
      </c>
      <c r="E180" t="e">
        <f ca="1">NT_DIST($A180,$B$3,E$5,FALSE)</f>
        <v>#NAME?</v>
      </c>
      <c r="Q180">
        <f t="shared" si="5"/>
        <v>11.199999999999973</v>
      </c>
      <c r="R180" t="e">
        <f ca="1">NT_DIST($Q180,R$5,$R$3,FALSE)</f>
        <v>#NAME?</v>
      </c>
      <c r="S180" t="e">
        <f ca="1">NT_DIST($Q180,S$5,$R$3,FALSE)</f>
        <v>#NAME?</v>
      </c>
      <c r="T180" t="e">
        <f ca="1">NT_DIST($Q180,T$5,$R$3,FALSE)</f>
        <v>#NAME?</v>
      </c>
      <c r="U180" t="e">
        <f ca="1">NT_DIST($Q180,U$5,$R$3,FALSE)</f>
        <v>#NAME?</v>
      </c>
    </row>
    <row r="181" spans="1:21" x14ac:dyDescent="0.25">
      <c r="A181">
        <f t="shared" si="4"/>
        <v>7.2999999999999723</v>
      </c>
      <c r="B181" t="e">
        <f ca="1">NT_DIST($A181,$B$3,B$5,FALSE)</f>
        <v>#NAME?</v>
      </c>
      <c r="C181" t="e">
        <f ca="1">NT_DIST($A181,$B$3,C$5,FALSE)</f>
        <v>#NAME?</v>
      </c>
      <c r="D181" t="e">
        <f ca="1">NT_DIST($A181,$B$3,D$5,FALSE)</f>
        <v>#NAME?</v>
      </c>
      <c r="E181" t="e">
        <f ca="1">NT_DIST($A181,$B$3,E$5,FALSE)</f>
        <v>#NAME?</v>
      </c>
      <c r="Q181">
        <f t="shared" si="5"/>
        <v>11.299999999999972</v>
      </c>
      <c r="R181" t="e">
        <f ca="1">NT_DIST($Q181,R$5,$R$3,FALSE)</f>
        <v>#NAME?</v>
      </c>
      <c r="S181" t="e">
        <f ca="1">NT_DIST($Q181,S$5,$R$3,FALSE)</f>
        <v>#NAME?</v>
      </c>
      <c r="T181" t="e">
        <f ca="1">NT_DIST($Q181,T$5,$R$3,FALSE)</f>
        <v>#NAME?</v>
      </c>
      <c r="U181" t="e">
        <f ca="1">NT_DIST($Q181,U$5,$R$3,FALSE)</f>
        <v>#NAME?</v>
      </c>
    </row>
    <row r="182" spans="1:21" x14ac:dyDescent="0.25">
      <c r="A182">
        <f t="shared" si="4"/>
        <v>7.3999999999999719</v>
      </c>
      <c r="B182" t="e">
        <f ca="1">NT_DIST($A182,$B$3,B$5,FALSE)</f>
        <v>#NAME?</v>
      </c>
      <c r="C182" t="e">
        <f ca="1">NT_DIST($A182,$B$3,C$5,FALSE)</f>
        <v>#NAME?</v>
      </c>
      <c r="D182" t="e">
        <f ca="1">NT_DIST($A182,$B$3,D$5,FALSE)</f>
        <v>#NAME?</v>
      </c>
      <c r="E182" t="e">
        <f ca="1">NT_DIST($A182,$B$3,E$5,FALSE)</f>
        <v>#NAME?</v>
      </c>
      <c r="Q182">
        <f t="shared" si="5"/>
        <v>11.399999999999972</v>
      </c>
      <c r="R182" t="e">
        <f ca="1">NT_DIST($Q182,R$5,$R$3,FALSE)</f>
        <v>#NAME?</v>
      </c>
      <c r="S182" t="e">
        <f ca="1">NT_DIST($Q182,S$5,$R$3,FALSE)</f>
        <v>#NAME?</v>
      </c>
      <c r="T182" t="e">
        <f ca="1">NT_DIST($Q182,T$5,$R$3,FALSE)</f>
        <v>#NAME?</v>
      </c>
      <c r="U182" t="e">
        <f ca="1">NT_DIST($Q182,U$5,$R$3,FALSE)</f>
        <v>#NAME?</v>
      </c>
    </row>
    <row r="183" spans="1:21" x14ac:dyDescent="0.25">
      <c r="A183">
        <f t="shared" si="4"/>
        <v>7.4999999999999716</v>
      </c>
      <c r="B183" t="e">
        <f ca="1">NT_DIST($A183,$B$3,B$5,FALSE)</f>
        <v>#NAME?</v>
      </c>
      <c r="C183" t="e">
        <f ca="1">NT_DIST($A183,$B$3,C$5,FALSE)</f>
        <v>#NAME?</v>
      </c>
      <c r="D183" t="e">
        <f ca="1">NT_DIST($A183,$B$3,D$5,FALSE)</f>
        <v>#NAME?</v>
      </c>
      <c r="E183" t="e">
        <f ca="1">NT_DIST($A183,$B$3,E$5,FALSE)</f>
        <v>#NAME?</v>
      </c>
      <c r="Q183">
        <f t="shared" si="5"/>
        <v>11.499999999999972</v>
      </c>
      <c r="R183" t="e">
        <f ca="1">NT_DIST($Q183,R$5,$R$3,FALSE)</f>
        <v>#NAME?</v>
      </c>
      <c r="S183" t="e">
        <f ca="1">NT_DIST($Q183,S$5,$R$3,FALSE)</f>
        <v>#NAME?</v>
      </c>
      <c r="T183" t="e">
        <f ca="1">NT_DIST($Q183,T$5,$R$3,FALSE)</f>
        <v>#NAME?</v>
      </c>
      <c r="U183" t="e">
        <f ca="1">NT_DIST($Q183,U$5,$R$3,FALSE)</f>
        <v>#NAME?</v>
      </c>
    </row>
    <row r="184" spans="1:21" x14ac:dyDescent="0.25">
      <c r="A184">
        <f t="shared" si="4"/>
        <v>7.5999999999999712</v>
      </c>
      <c r="B184" t="e">
        <f ca="1">NT_DIST($A184,$B$3,B$5,FALSE)</f>
        <v>#NAME?</v>
      </c>
      <c r="C184" t="e">
        <f ca="1">NT_DIST($A184,$B$3,C$5,FALSE)</f>
        <v>#NAME?</v>
      </c>
      <c r="D184" t="e">
        <f ca="1">NT_DIST($A184,$B$3,D$5,FALSE)</f>
        <v>#NAME?</v>
      </c>
      <c r="E184" t="e">
        <f ca="1">NT_DIST($A184,$B$3,E$5,FALSE)</f>
        <v>#NAME?</v>
      </c>
      <c r="Q184">
        <f t="shared" si="5"/>
        <v>11.599999999999971</v>
      </c>
      <c r="R184" t="e">
        <f ca="1">NT_DIST($Q184,R$5,$R$3,FALSE)</f>
        <v>#NAME?</v>
      </c>
      <c r="S184" t="e">
        <f ca="1">NT_DIST($Q184,S$5,$R$3,FALSE)</f>
        <v>#NAME?</v>
      </c>
      <c r="T184" t="e">
        <f ca="1">NT_DIST($Q184,T$5,$R$3,FALSE)</f>
        <v>#NAME?</v>
      </c>
      <c r="U184" t="e">
        <f ca="1">NT_DIST($Q184,U$5,$R$3,FALSE)</f>
        <v>#NAME?</v>
      </c>
    </row>
    <row r="185" spans="1:21" x14ac:dyDescent="0.25">
      <c r="A185">
        <f t="shared" si="4"/>
        <v>7.6999999999999709</v>
      </c>
      <c r="B185" t="e">
        <f ca="1">NT_DIST($A185,$B$3,B$5,FALSE)</f>
        <v>#NAME?</v>
      </c>
      <c r="C185" t="e">
        <f ca="1">NT_DIST($A185,$B$3,C$5,FALSE)</f>
        <v>#NAME?</v>
      </c>
      <c r="D185" t="e">
        <f ca="1">NT_DIST($A185,$B$3,D$5,FALSE)</f>
        <v>#NAME?</v>
      </c>
      <c r="E185" t="e">
        <f ca="1">NT_DIST($A185,$B$3,E$5,FALSE)</f>
        <v>#NAME?</v>
      </c>
      <c r="Q185">
        <f t="shared" si="5"/>
        <v>11.699999999999971</v>
      </c>
      <c r="R185" t="e">
        <f ca="1">NT_DIST($Q185,R$5,$R$3,FALSE)</f>
        <v>#NAME?</v>
      </c>
      <c r="S185" t="e">
        <f ca="1">NT_DIST($Q185,S$5,$R$3,FALSE)</f>
        <v>#NAME?</v>
      </c>
      <c r="T185" t="e">
        <f ca="1">NT_DIST($Q185,T$5,$R$3,FALSE)</f>
        <v>#NAME?</v>
      </c>
      <c r="U185" t="e">
        <f ca="1">NT_DIST($Q185,U$5,$R$3,FALSE)</f>
        <v>#NAME?</v>
      </c>
    </row>
    <row r="186" spans="1:21" x14ac:dyDescent="0.25">
      <c r="A186">
        <f t="shared" si="4"/>
        <v>7.7999999999999705</v>
      </c>
      <c r="B186" t="e">
        <f ca="1">NT_DIST($A186,$B$3,B$5,FALSE)</f>
        <v>#NAME?</v>
      </c>
      <c r="C186" t="e">
        <f ca="1">NT_DIST($A186,$B$3,C$5,FALSE)</f>
        <v>#NAME?</v>
      </c>
      <c r="D186" t="e">
        <f ca="1">NT_DIST($A186,$B$3,D$5,FALSE)</f>
        <v>#NAME?</v>
      </c>
      <c r="E186" t="e">
        <f ca="1">NT_DIST($A186,$B$3,E$5,FALSE)</f>
        <v>#NAME?</v>
      </c>
      <c r="Q186">
        <f t="shared" si="5"/>
        <v>11.799999999999971</v>
      </c>
      <c r="R186" t="e">
        <f ca="1">NT_DIST($Q186,R$5,$R$3,FALSE)</f>
        <v>#NAME?</v>
      </c>
      <c r="S186" t="e">
        <f ca="1">NT_DIST($Q186,S$5,$R$3,FALSE)</f>
        <v>#NAME?</v>
      </c>
      <c r="T186" t="e">
        <f ca="1">NT_DIST($Q186,T$5,$R$3,FALSE)</f>
        <v>#NAME?</v>
      </c>
      <c r="U186" t="e">
        <f ca="1">NT_DIST($Q186,U$5,$R$3,FALSE)</f>
        <v>#NAME?</v>
      </c>
    </row>
    <row r="187" spans="1:21" x14ac:dyDescent="0.25">
      <c r="A187">
        <f t="shared" si="4"/>
        <v>7.8999999999999702</v>
      </c>
      <c r="B187" t="e">
        <f ca="1">NT_DIST($A187,$B$3,B$5,FALSE)</f>
        <v>#NAME?</v>
      </c>
      <c r="C187" t="e">
        <f ca="1">NT_DIST($A187,$B$3,C$5,FALSE)</f>
        <v>#NAME?</v>
      </c>
      <c r="D187" t="e">
        <f ca="1">NT_DIST($A187,$B$3,D$5,FALSE)</f>
        <v>#NAME?</v>
      </c>
      <c r="E187" t="e">
        <f ca="1">NT_DIST($A187,$B$3,E$5,FALSE)</f>
        <v>#NAME?</v>
      </c>
      <c r="Q187">
        <f t="shared" si="5"/>
        <v>11.89999999999997</v>
      </c>
      <c r="R187" t="e">
        <f ca="1">NT_DIST($Q187,R$5,$R$3,FALSE)</f>
        <v>#NAME?</v>
      </c>
      <c r="S187" t="e">
        <f ca="1">NT_DIST($Q187,S$5,$R$3,FALSE)</f>
        <v>#NAME?</v>
      </c>
      <c r="T187" t="e">
        <f ca="1">NT_DIST($Q187,T$5,$R$3,FALSE)</f>
        <v>#NAME?</v>
      </c>
      <c r="U187" t="e">
        <f ca="1">NT_DIST($Q187,U$5,$R$3,FALSE)</f>
        <v>#NAME?</v>
      </c>
    </row>
    <row r="188" spans="1:21" x14ac:dyDescent="0.25">
      <c r="A188">
        <f t="shared" si="4"/>
        <v>7.9999999999999698</v>
      </c>
      <c r="B188" t="e">
        <f ca="1">NT_DIST($A188,$B$3,B$5,FALSE)</f>
        <v>#NAME?</v>
      </c>
      <c r="C188" t="e">
        <f ca="1">NT_DIST($A188,$B$3,C$5,FALSE)</f>
        <v>#NAME?</v>
      </c>
      <c r="D188" t="e">
        <f ca="1">NT_DIST($A188,$B$3,D$5,FALSE)</f>
        <v>#NAME?</v>
      </c>
      <c r="E188" t="e">
        <f ca="1">NT_DIST($A188,$B$3,E$5,FALSE)</f>
        <v>#NAME?</v>
      </c>
      <c r="Q188">
        <f t="shared" si="5"/>
        <v>11.99999999999997</v>
      </c>
      <c r="R188" t="e">
        <f ca="1">NT_DIST($Q188,R$5,$R$3,FALSE)</f>
        <v>#NAME?</v>
      </c>
      <c r="S188" t="e">
        <f ca="1">NT_DIST($Q188,S$5,$R$3,FALSE)</f>
        <v>#NAME?</v>
      </c>
      <c r="T188" t="e">
        <f ca="1">NT_DIST($Q188,T$5,$R$3,FALSE)</f>
        <v>#NAME?</v>
      </c>
      <c r="U188" t="e">
        <f ca="1">NT_DIST($Q188,U$5,$R$3,FALSE)</f>
        <v>#NAME?</v>
      </c>
    </row>
    <row r="189" spans="1:21" x14ac:dyDescent="0.25">
      <c r="A189">
        <f t="shared" si="4"/>
        <v>8.0999999999999694</v>
      </c>
      <c r="B189" t="e">
        <f ca="1">NT_DIST($A189,$B$3,B$5,FALSE)</f>
        <v>#NAME?</v>
      </c>
      <c r="C189" t="e">
        <f ca="1">NT_DIST($A189,$B$3,C$5,FALSE)</f>
        <v>#NAME?</v>
      </c>
      <c r="D189" t="e">
        <f ca="1">NT_DIST($A189,$B$3,D$5,FALSE)</f>
        <v>#NAME?</v>
      </c>
      <c r="E189" t="e">
        <f ca="1">NT_DIST($A189,$B$3,E$5,FALSE)</f>
        <v>#NAME?</v>
      </c>
      <c r="Q189">
        <f t="shared" si="5"/>
        <v>12.099999999999969</v>
      </c>
      <c r="R189" t="e">
        <f ca="1">NT_DIST($Q189,R$5,$R$3,FALSE)</f>
        <v>#NAME?</v>
      </c>
      <c r="S189" t="e">
        <f ca="1">NT_DIST($Q189,S$5,$R$3,FALSE)</f>
        <v>#NAME?</v>
      </c>
      <c r="T189" t="e">
        <f ca="1">NT_DIST($Q189,T$5,$R$3,FALSE)</f>
        <v>#NAME?</v>
      </c>
      <c r="U189" t="e">
        <f ca="1">NT_DIST($Q189,U$5,$R$3,FALSE)</f>
        <v>#NAME?</v>
      </c>
    </row>
    <row r="190" spans="1:21" x14ac:dyDescent="0.25">
      <c r="A190">
        <f t="shared" si="4"/>
        <v>8.1999999999999691</v>
      </c>
      <c r="B190" t="e">
        <f ca="1">NT_DIST($A190,$B$3,B$5,FALSE)</f>
        <v>#NAME?</v>
      </c>
      <c r="C190" t="e">
        <f ca="1">NT_DIST($A190,$B$3,C$5,FALSE)</f>
        <v>#NAME?</v>
      </c>
      <c r="D190" t="e">
        <f ca="1">NT_DIST($A190,$B$3,D$5,FALSE)</f>
        <v>#NAME?</v>
      </c>
      <c r="E190" t="e">
        <f ca="1">NT_DIST($A190,$B$3,E$5,FALSE)</f>
        <v>#NAME?</v>
      </c>
      <c r="Q190">
        <f t="shared" si="5"/>
        <v>12.199999999999969</v>
      </c>
      <c r="R190" t="e">
        <f ca="1">NT_DIST($Q190,R$5,$R$3,FALSE)</f>
        <v>#NAME?</v>
      </c>
      <c r="S190" t="e">
        <f ca="1">NT_DIST($Q190,S$5,$R$3,FALSE)</f>
        <v>#NAME?</v>
      </c>
      <c r="T190" t="e">
        <f ca="1">NT_DIST($Q190,T$5,$R$3,FALSE)</f>
        <v>#NAME?</v>
      </c>
      <c r="U190" t="e">
        <f ca="1">NT_DIST($Q190,U$5,$R$3,FALSE)</f>
        <v>#NAME?</v>
      </c>
    </row>
    <row r="191" spans="1:21" x14ac:dyDescent="0.25">
      <c r="A191">
        <f t="shared" si="4"/>
        <v>8.2999999999999687</v>
      </c>
      <c r="B191" t="e">
        <f ca="1">NT_DIST($A191,$B$3,B$5,FALSE)</f>
        <v>#NAME?</v>
      </c>
      <c r="C191" t="e">
        <f ca="1">NT_DIST($A191,$B$3,C$5,FALSE)</f>
        <v>#NAME?</v>
      </c>
      <c r="D191" t="e">
        <f ca="1">NT_DIST($A191,$B$3,D$5,FALSE)</f>
        <v>#NAME?</v>
      </c>
      <c r="E191" t="e">
        <f ca="1">NT_DIST($A191,$B$3,E$5,FALSE)</f>
        <v>#NAME?</v>
      </c>
      <c r="Q191">
        <f t="shared" si="5"/>
        <v>12.299999999999969</v>
      </c>
      <c r="R191" t="e">
        <f ca="1">NT_DIST($Q191,R$5,$R$3,FALSE)</f>
        <v>#NAME?</v>
      </c>
      <c r="S191" t="e">
        <f ca="1">NT_DIST($Q191,S$5,$R$3,FALSE)</f>
        <v>#NAME?</v>
      </c>
      <c r="T191" t="e">
        <f ca="1">NT_DIST($Q191,T$5,$R$3,FALSE)</f>
        <v>#NAME?</v>
      </c>
      <c r="U191" t="e">
        <f ca="1">NT_DIST($Q191,U$5,$R$3,FALSE)</f>
        <v>#NAME?</v>
      </c>
    </row>
    <row r="192" spans="1:21" x14ac:dyDescent="0.25">
      <c r="A192">
        <f t="shared" si="4"/>
        <v>8.3999999999999684</v>
      </c>
      <c r="B192" t="e">
        <f ca="1">NT_DIST($A192,$B$3,B$5,FALSE)</f>
        <v>#NAME?</v>
      </c>
      <c r="C192" t="e">
        <f ca="1">NT_DIST($A192,$B$3,C$5,FALSE)</f>
        <v>#NAME?</v>
      </c>
      <c r="D192" t="e">
        <f ca="1">NT_DIST($A192,$B$3,D$5,FALSE)</f>
        <v>#NAME?</v>
      </c>
      <c r="E192" t="e">
        <f ca="1">NT_DIST($A192,$B$3,E$5,FALSE)</f>
        <v>#NAME?</v>
      </c>
      <c r="Q192">
        <f t="shared" si="5"/>
        <v>12.399999999999968</v>
      </c>
      <c r="R192" t="e">
        <f ca="1">NT_DIST($Q192,R$5,$R$3,FALSE)</f>
        <v>#NAME?</v>
      </c>
      <c r="S192" t="e">
        <f ca="1">NT_DIST($Q192,S$5,$R$3,FALSE)</f>
        <v>#NAME?</v>
      </c>
      <c r="T192" t="e">
        <f ca="1">NT_DIST($Q192,T$5,$R$3,FALSE)</f>
        <v>#NAME?</v>
      </c>
      <c r="U192" t="e">
        <f ca="1">NT_DIST($Q192,U$5,$R$3,FALSE)</f>
        <v>#NAME?</v>
      </c>
    </row>
    <row r="193" spans="1:21" x14ac:dyDescent="0.25">
      <c r="A193">
        <f t="shared" si="4"/>
        <v>8.499999999999968</v>
      </c>
      <c r="B193" t="e">
        <f ca="1">NT_DIST($A193,$B$3,B$5,FALSE)</f>
        <v>#NAME?</v>
      </c>
      <c r="C193" t="e">
        <f ca="1">NT_DIST($A193,$B$3,C$5,FALSE)</f>
        <v>#NAME?</v>
      </c>
      <c r="D193" t="e">
        <f ca="1">NT_DIST($A193,$B$3,D$5,FALSE)</f>
        <v>#NAME?</v>
      </c>
      <c r="E193" t="e">
        <f ca="1">NT_DIST($A193,$B$3,E$5,FALSE)</f>
        <v>#NAME?</v>
      </c>
      <c r="Q193">
        <f t="shared" si="5"/>
        <v>12.499999999999968</v>
      </c>
      <c r="R193" t="e">
        <f ca="1">NT_DIST($Q193,R$5,$R$3,FALSE)</f>
        <v>#NAME?</v>
      </c>
      <c r="S193" t="e">
        <f ca="1">NT_DIST($Q193,S$5,$R$3,FALSE)</f>
        <v>#NAME?</v>
      </c>
      <c r="T193" t="e">
        <f ca="1">NT_DIST($Q193,T$5,$R$3,FALSE)</f>
        <v>#NAME?</v>
      </c>
      <c r="U193" t="e">
        <f ca="1">NT_DIST($Q193,U$5,$R$3,FALSE)</f>
        <v>#NAME?</v>
      </c>
    </row>
    <row r="194" spans="1:21" x14ac:dyDescent="0.25">
      <c r="A194">
        <f t="shared" si="4"/>
        <v>8.5999999999999677</v>
      </c>
      <c r="B194" t="e">
        <f ca="1">NT_DIST($A194,$B$3,B$5,FALSE)</f>
        <v>#NAME?</v>
      </c>
      <c r="C194" t="e">
        <f ca="1">NT_DIST($A194,$B$3,C$5,FALSE)</f>
        <v>#NAME?</v>
      </c>
      <c r="D194" t="e">
        <f ca="1">NT_DIST($A194,$B$3,D$5,FALSE)</f>
        <v>#NAME?</v>
      </c>
      <c r="E194" t="e">
        <f ca="1">NT_DIST($A194,$B$3,E$5,FALSE)</f>
        <v>#NAME?</v>
      </c>
      <c r="Q194">
        <f t="shared" si="5"/>
        <v>12.599999999999968</v>
      </c>
      <c r="R194" t="e">
        <f ca="1">NT_DIST($Q194,R$5,$R$3,FALSE)</f>
        <v>#NAME?</v>
      </c>
      <c r="S194" t="e">
        <f ca="1">NT_DIST($Q194,S$5,$R$3,FALSE)</f>
        <v>#NAME?</v>
      </c>
      <c r="T194" t="e">
        <f ca="1">NT_DIST($Q194,T$5,$R$3,FALSE)</f>
        <v>#NAME?</v>
      </c>
      <c r="U194" t="e">
        <f ca="1">NT_DIST($Q194,U$5,$R$3,FALSE)</f>
        <v>#NAME?</v>
      </c>
    </row>
    <row r="195" spans="1:21" x14ac:dyDescent="0.25">
      <c r="A195">
        <f t="shared" si="4"/>
        <v>8.6999999999999673</v>
      </c>
      <c r="B195" t="e">
        <f ca="1">NT_DIST($A195,$B$3,B$5,FALSE)</f>
        <v>#NAME?</v>
      </c>
      <c r="C195" t="e">
        <f ca="1">NT_DIST($A195,$B$3,C$5,FALSE)</f>
        <v>#NAME?</v>
      </c>
      <c r="D195" t="e">
        <f ca="1">NT_DIST($A195,$B$3,D$5,FALSE)</f>
        <v>#NAME?</v>
      </c>
      <c r="E195" t="e">
        <f ca="1">NT_DIST($A195,$B$3,E$5,FALSE)</f>
        <v>#NAME?</v>
      </c>
      <c r="Q195">
        <f t="shared" si="5"/>
        <v>12.699999999999967</v>
      </c>
      <c r="R195" t="e">
        <f ca="1">NT_DIST($Q195,R$5,$R$3,FALSE)</f>
        <v>#NAME?</v>
      </c>
      <c r="S195" t="e">
        <f ca="1">NT_DIST($Q195,S$5,$R$3,FALSE)</f>
        <v>#NAME?</v>
      </c>
      <c r="T195" t="e">
        <f ca="1">NT_DIST($Q195,T$5,$R$3,FALSE)</f>
        <v>#NAME?</v>
      </c>
      <c r="U195" t="e">
        <f ca="1">NT_DIST($Q195,U$5,$R$3,FALSE)</f>
        <v>#NAME?</v>
      </c>
    </row>
    <row r="196" spans="1:21" x14ac:dyDescent="0.25">
      <c r="A196">
        <f t="shared" si="4"/>
        <v>8.799999999999967</v>
      </c>
      <c r="B196" t="e">
        <f ca="1">NT_DIST($A196,$B$3,B$5,FALSE)</f>
        <v>#NAME?</v>
      </c>
      <c r="C196" t="e">
        <f ca="1">NT_DIST($A196,$B$3,C$5,FALSE)</f>
        <v>#NAME?</v>
      </c>
      <c r="D196" t="e">
        <f ca="1">NT_DIST($A196,$B$3,D$5,FALSE)</f>
        <v>#NAME?</v>
      </c>
      <c r="E196" t="e">
        <f ca="1">NT_DIST($A196,$B$3,E$5,FALSE)</f>
        <v>#NAME?</v>
      </c>
      <c r="Q196">
        <f t="shared" si="5"/>
        <v>12.799999999999967</v>
      </c>
      <c r="R196" t="e">
        <f ca="1">NT_DIST($Q196,R$5,$R$3,FALSE)</f>
        <v>#NAME?</v>
      </c>
      <c r="S196" t="e">
        <f ca="1">NT_DIST($Q196,S$5,$R$3,FALSE)</f>
        <v>#NAME?</v>
      </c>
      <c r="T196" t="e">
        <f ca="1">NT_DIST($Q196,T$5,$R$3,FALSE)</f>
        <v>#NAME?</v>
      </c>
      <c r="U196" t="e">
        <f ca="1">NT_DIST($Q196,U$5,$R$3,FALSE)</f>
        <v>#NAME?</v>
      </c>
    </row>
    <row r="197" spans="1:21" x14ac:dyDescent="0.25">
      <c r="A197">
        <f t="shared" si="4"/>
        <v>8.8999999999999666</v>
      </c>
      <c r="B197" t="e">
        <f ca="1">NT_DIST($A197,$B$3,B$5,FALSE)</f>
        <v>#NAME?</v>
      </c>
      <c r="C197" t="e">
        <f ca="1">NT_DIST($A197,$B$3,C$5,FALSE)</f>
        <v>#NAME?</v>
      </c>
      <c r="D197" t="e">
        <f ca="1">NT_DIST($A197,$B$3,D$5,FALSE)</f>
        <v>#NAME?</v>
      </c>
      <c r="E197" t="e">
        <f ca="1">NT_DIST($A197,$B$3,E$5,FALSE)</f>
        <v>#NAME?</v>
      </c>
      <c r="Q197">
        <f t="shared" si="5"/>
        <v>12.899999999999967</v>
      </c>
      <c r="R197" t="e">
        <f ca="1">NT_DIST($Q197,R$5,$R$3,FALSE)</f>
        <v>#NAME?</v>
      </c>
      <c r="S197" t="e">
        <f ca="1">NT_DIST($Q197,S$5,$R$3,FALSE)</f>
        <v>#NAME?</v>
      </c>
      <c r="T197" t="e">
        <f ca="1">NT_DIST($Q197,T$5,$R$3,FALSE)</f>
        <v>#NAME?</v>
      </c>
      <c r="U197" t="e">
        <f ca="1">NT_DIST($Q197,U$5,$R$3,FALSE)</f>
        <v>#NAME?</v>
      </c>
    </row>
    <row r="198" spans="1:21" x14ac:dyDescent="0.25">
      <c r="A198">
        <f t="shared" si="4"/>
        <v>8.9999999999999662</v>
      </c>
      <c r="B198" t="e">
        <f ca="1">NT_DIST($A198,$B$3,B$5,FALSE)</f>
        <v>#NAME?</v>
      </c>
      <c r="C198" t="e">
        <f ca="1">NT_DIST($A198,$B$3,C$5,FALSE)</f>
        <v>#NAME?</v>
      </c>
      <c r="D198" t="e">
        <f ca="1">NT_DIST($A198,$B$3,D$5,FALSE)</f>
        <v>#NAME?</v>
      </c>
      <c r="E198" t="e">
        <f ca="1">NT_DIST($A198,$B$3,E$5,FALSE)</f>
        <v>#NAME?</v>
      </c>
      <c r="Q198">
        <f t="shared" si="5"/>
        <v>12.999999999999966</v>
      </c>
      <c r="R198" t="e">
        <f ca="1">NT_DIST($Q198,R$5,$R$3,FALSE)</f>
        <v>#NAME?</v>
      </c>
      <c r="S198" t="e">
        <f ca="1">NT_DIST($Q198,S$5,$R$3,FALSE)</f>
        <v>#NAME?</v>
      </c>
      <c r="T198" t="e">
        <f ca="1">NT_DIST($Q198,T$5,$R$3,FALSE)</f>
        <v>#NAME?</v>
      </c>
      <c r="U198" t="e">
        <f ca="1">NT_DIST($Q198,U$5,$R$3,FALSE)</f>
        <v>#NAME?</v>
      </c>
    </row>
    <row r="199" spans="1:21" x14ac:dyDescent="0.25">
      <c r="A199">
        <f t="shared" si="4"/>
        <v>9.0999999999999659</v>
      </c>
      <c r="B199" t="e">
        <f ca="1">NT_DIST($A199,$B$3,B$5,FALSE)</f>
        <v>#NAME?</v>
      </c>
      <c r="C199" t="e">
        <f ca="1">NT_DIST($A199,$B$3,C$5,FALSE)</f>
        <v>#NAME?</v>
      </c>
      <c r="D199" t="e">
        <f ca="1">NT_DIST($A199,$B$3,D$5,FALSE)</f>
        <v>#NAME?</v>
      </c>
      <c r="E199" t="e">
        <f ca="1">NT_DIST($A199,$B$3,E$5,FALSE)</f>
        <v>#NAME?</v>
      </c>
      <c r="Q199">
        <f t="shared" si="5"/>
        <v>13.099999999999966</v>
      </c>
      <c r="R199" t="e">
        <f ca="1">NT_DIST($Q199,R$5,$R$3,FALSE)</f>
        <v>#NAME?</v>
      </c>
      <c r="S199" t="e">
        <f ca="1">NT_DIST($Q199,S$5,$R$3,FALSE)</f>
        <v>#NAME?</v>
      </c>
      <c r="T199" t="e">
        <f ca="1">NT_DIST($Q199,T$5,$R$3,FALSE)</f>
        <v>#NAME?</v>
      </c>
      <c r="U199" t="e">
        <f ca="1">NT_DIST($Q199,U$5,$R$3,FALSE)</f>
        <v>#NAME?</v>
      </c>
    </row>
    <row r="200" spans="1:21" x14ac:dyDescent="0.25">
      <c r="A200">
        <f t="shared" si="4"/>
        <v>9.1999999999999655</v>
      </c>
      <c r="B200" t="e">
        <f ca="1">NT_DIST($A200,$B$3,B$5,FALSE)</f>
        <v>#NAME?</v>
      </c>
      <c r="C200" t="e">
        <f ca="1">NT_DIST($A200,$B$3,C$5,FALSE)</f>
        <v>#NAME?</v>
      </c>
      <c r="D200" t="e">
        <f ca="1">NT_DIST($A200,$B$3,D$5,FALSE)</f>
        <v>#NAME?</v>
      </c>
      <c r="E200" t="e">
        <f ca="1">NT_DIST($A200,$B$3,E$5,FALSE)</f>
        <v>#NAME?</v>
      </c>
      <c r="Q200">
        <f t="shared" si="5"/>
        <v>13.199999999999966</v>
      </c>
      <c r="R200" t="e">
        <f ca="1">NT_DIST($Q200,R$5,$R$3,FALSE)</f>
        <v>#NAME?</v>
      </c>
      <c r="S200" t="e">
        <f ca="1">NT_DIST($Q200,S$5,$R$3,FALSE)</f>
        <v>#NAME?</v>
      </c>
      <c r="T200" t="e">
        <f ca="1">NT_DIST($Q200,T$5,$R$3,FALSE)</f>
        <v>#NAME?</v>
      </c>
      <c r="U200" t="e">
        <f ca="1">NT_DIST($Q200,U$5,$R$3,FALSE)</f>
        <v>#NAME?</v>
      </c>
    </row>
    <row r="201" spans="1:21" x14ac:dyDescent="0.25">
      <c r="A201">
        <f t="shared" si="4"/>
        <v>9.2999999999999652</v>
      </c>
      <c r="B201" t="e">
        <f ca="1">NT_DIST($A201,$B$3,B$5,FALSE)</f>
        <v>#NAME?</v>
      </c>
      <c r="C201" t="e">
        <f ca="1">NT_DIST($A201,$B$3,C$5,FALSE)</f>
        <v>#NAME?</v>
      </c>
      <c r="D201" t="e">
        <f ca="1">NT_DIST($A201,$B$3,D$5,FALSE)</f>
        <v>#NAME?</v>
      </c>
      <c r="E201" t="e">
        <f ca="1">NT_DIST($A201,$B$3,E$5,FALSE)</f>
        <v>#NAME?</v>
      </c>
      <c r="Q201">
        <f t="shared" si="5"/>
        <v>13.299999999999965</v>
      </c>
      <c r="R201" t="e">
        <f ca="1">NT_DIST($Q201,R$5,$R$3,FALSE)</f>
        <v>#NAME?</v>
      </c>
      <c r="S201" t="e">
        <f ca="1">NT_DIST($Q201,S$5,$R$3,FALSE)</f>
        <v>#NAME?</v>
      </c>
      <c r="T201" t="e">
        <f ca="1">NT_DIST($Q201,T$5,$R$3,FALSE)</f>
        <v>#NAME?</v>
      </c>
      <c r="U201" t="e">
        <f ca="1">NT_DIST($Q201,U$5,$R$3,FALSE)</f>
        <v>#NAME?</v>
      </c>
    </row>
    <row r="202" spans="1:21" x14ac:dyDescent="0.25">
      <c r="A202">
        <f t="shared" ref="A202:A209" si="6">A201+0.1</f>
        <v>9.3999999999999648</v>
      </c>
      <c r="B202" t="e">
        <f ca="1">NT_DIST($A202,$B$3,B$5,FALSE)</f>
        <v>#NAME?</v>
      </c>
      <c r="C202" t="e">
        <f ca="1">NT_DIST($A202,$B$3,C$5,FALSE)</f>
        <v>#NAME?</v>
      </c>
      <c r="D202" t="e">
        <f ca="1">NT_DIST($A202,$B$3,D$5,FALSE)</f>
        <v>#NAME?</v>
      </c>
      <c r="E202" t="e">
        <f ca="1">NT_DIST($A202,$B$3,E$5,FALSE)</f>
        <v>#NAME?</v>
      </c>
      <c r="Q202">
        <f t="shared" ref="Q202:Q209" si="7">Q201+0.1</f>
        <v>13.399999999999965</v>
      </c>
      <c r="R202" t="e">
        <f ca="1">NT_DIST($Q202,R$5,$R$3,FALSE)</f>
        <v>#NAME?</v>
      </c>
      <c r="S202" t="e">
        <f ca="1">NT_DIST($Q202,S$5,$R$3,FALSE)</f>
        <v>#NAME?</v>
      </c>
      <c r="T202" t="e">
        <f ca="1">NT_DIST($Q202,T$5,$R$3,FALSE)</f>
        <v>#NAME?</v>
      </c>
      <c r="U202" t="e">
        <f ca="1">NT_DIST($Q202,U$5,$R$3,FALSE)</f>
        <v>#NAME?</v>
      </c>
    </row>
    <row r="203" spans="1:21" x14ac:dyDescent="0.25">
      <c r="A203">
        <f t="shared" si="6"/>
        <v>9.4999999999999645</v>
      </c>
      <c r="B203" t="e">
        <f ca="1">NT_DIST($A203,$B$3,B$5,FALSE)</f>
        <v>#NAME?</v>
      </c>
      <c r="C203" t="e">
        <f ca="1">NT_DIST($A203,$B$3,C$5,FALSE)</f>
        <v>#NAME?</v>
      </c>
      <c r="D203" t="e">
        <f ca="1">NT_DIST($A203,$B$3,D$5,FALSE)</f>
        <v>#NAME?</v>
      </c>
      <c r="E203" t="e">
        <f ca="1">NT_DIST($A203,$B$3,E$5,FALSE)</f>
        <v>#NAME?</v>
      </c>
      <c r="Q203">
        <f t="shared" si="7"/>
        <v>13.499999999999964</v>
      </c>
      <c r="R203" t="e">
        <f ca="1">NT_DIST($Q203,R$5,$R$3,FALSE)</f>
        <v>#NAME?</v>
      </c>
      <c r="S203" t="e">
        <f ca="1">NT_DIST($Q203,S$5,$R$3,FALSE)</f>
        <v>#NAME?</v>
      </c>
      <c r="T203" t="e">
        <f ca="1">NT_DIST($Q203,T$5,$R$3,FALSE)</f>
        <v>#NAME?</v>
      </c>
      <c r="U203" t="e">
        <f ca="1">NT_DIST($Q203,U$5,$R$3,FALSE)</f>
        <v>#NAME?</v>
      </c>
    </row>
    <row r="204" spans="1:21" x14ac:dyDescent="0.25">
      <c r="A204">
        <f t="shared" si="6"/>
        <v>9.5999999999999641</v>
      </c>
      <c r="B204" t="e">
        <f ca="1">NT_DIST($A204,$B$3,B$5,FALSE)</f>
        <v>#NAME?</v>
      </c>
      <c r="C204" t="e">
        <f ca="1">NT_DIST($A204,$B$3,C$5,FALSE)</f>
        <v>#NAME?</v>
      </c>
      <c r="D204" t="e">
        <f ca="1">NT_DIST($A204,$B$3,D$5,FALSE)</f>
        <v>#NAME?</v>
      </c>
      <c r="E204" t="e">
        <f ca="1">NT_DIST($A204,$B$3,E$5,FALSE)</f>
        <v>#NAME?</v>
      </c>
      <c r="Q204">
        <f t="shared" si="7"/>
        <v>13.599999999999964</v>
      </c>
      <c r="R204" t="e">
        <f ca="1">NT_DIST($Q204,R$5,$R$3,FALSE)</f>
        <v>#NAME?</v>
      </c>
      <c r="S204" t="e">
        <f ca="1">NT_DIST($Q204,S$5,$R$3,FALSE)</f>
        <v>#NAME?</v>
      </c>
      <c r="T204" t="e">
        <f ca="1">NT_DIST($Q204,T$5,$R$3,FALSE)</f>
        <v>#NAME?</v>
      </c>
      <c r="U204" t="e">
        <f ca="1">NT_DIST($Q204,U$5,$R$3,FALSE)</f>
        <v>#NAME?</v>
      </c>
    </row>
    <row r="205" spans="1:21" x14ac:dyDescent="0.25">
      <c r="A205">
        <f t="shared" si="6"/>
        <v>9.6999999999999638</v>
      </c>
      <c r="B205" t="e">
        <f ca="1">NT_DIST($A205,$B$3,B$5,FALSE)</f>
        <v>#NAME?</v>
      </c>
      <c r="C205" t="e">
        <f ca="1">NT_DIST($A205,$B$3,C$5,FALSE)</f>
        <v>#NAME?</v>
      </c>
      <c r="D205" t="e">
        <f ca="1">NT_DIST($A205,$B$3,D$5,FALSE)</f>
        <v>#NAME?</v>
      </c>
      <c r="E205" t="e">
        <f ca="1">NT_DIST($A205,$B$3,E$5,FALSE)</f>
        <v>#NAME?</v>
      </c>
      <c r="Q205">
        <f t="shared" si="7"/>
        <v>13.699999999999964</v>
      </c>
      <c r="R205" t="e">
        <f ca="1">NT_DIST($Q205,R$5,$R$3,FALSE)</f>
        <v>#NAME?</v>
      </c>
      <c r="S205" t="e">
        <f ca="1">NT_DIST($Q205,S$5,$R$3,FALSE)</f>
        <v>#NAME?</v>
      </c>
      <c r="T205" t="e">
        <f ca="1">NT_DIST($Q205,T$5,$R$3,FALSE)</f>
        <v>#NAME?</v>
      </c>
      <c r="U205" t="e">
        <f ca="1">NT_DIST($Q205,U$5,$R$3,FALSE)</f>
        <v>#NAME?</v>
      </c>
    </row>
    <row r="206" spans="1:21" x14ac:dyDescent="0.25">
      <c r="A206">
        <f t="shared" si="6"/>
        <v>9.7999999999999634</v>
      </c>
      <c r="B206" t="e">
        <f ca="1">NT_DIST($A206,$B$3,B$5,FALSE)</f>
        <v>#NAME?</v>
      </c>
      <c r="C206" t="e">
        <f ca="1">NT_DIST($A206,$B$3,C$5,FALSE)</f>
        <v>#NAME?</v>
      </c>
      <c r="D206" t="e">
        <f ca="1">NT_DIST($A206,$B$3,D$5,FALSE)</f>
        <v>#NAME?</v>
      </c>
      <c r="E206" t="e">
        <f ca="1">NT_DIST($A206,$B$3,E$5,FALSE)</f>
        <v>#NAME?</v>
      </c>
      <c r="Q206">
        <f t="shared" si="7"/>
        <v>13.799999999999963</v>
      </c>
      <c r="R206" t="e">
        <f ca="1">NT_DIST($Q206,R$5,$R$3,FALSE)</f>
        <v>#NAME?</v>
      </c>
      <c r="S206" t="e">
        <f ca="1">NT_DIST($Q206,S$5,$R$3,FALSE)</f>
        <v>#NAME?</v>
      </c>
      <c r="T206" t="e">
        <f ca="1">NT_DIST($Q206,T$5,$R$3,FALSE)</f>
        <v>#NAME?</v>
      </c>
      <c r="U206" t="e">
        <f ca="1">NT_DIST($Q206,U$5,$R$3,FALSE)</f>
        <v>#NAME?</v>
      </c>
    </row>
    <row r="207" spans="1:21" x14ac:dyDescent="0.25">
      <c r="A207">
        <f t="shared" si="6"/>
        <v>9.8999999999999631</v>
      </c>
      <c r="B207" t="e">
        <f ca="1">NT_DIST($A207,$B$3,B$5,FALSE)</f>
        <v>#NAME?</v>
      </c>
      <c r="C207" t="e">
        <f ca="1">NT_DIST($A207,$B$3,C$5,FALSE)</f>
        <v>#NAME?</v>
      </c>
      <c r="D207" t="e">
        <f ca="1">NT_DIST($A207,$B$3,D$5,FALSE)</f>
        <v>#NAME?</v>
      </c>
      <c r="E207" t="e">
        <f ca="1">NT_DIST($A207,$B$3,E$5,FALSE)</f>
        <v>#NAME?</v>
      </c>
      <c r="Q207">
        <f t="shared" si="7"/>
        <v>13.899999999999963</v>
      </c>
      <c r="R207" t="e">
        <f ca="1">NT_DIST($Q207,R$5,$R$3,FALSE)</f>
        <v>#NAME?</v>
      </c>
      <c r="S207" t="e">
        <f ca="1">NT_DIST($Q207,S$5,$R$3,FALSE)</f>
        <v>#NAME?</v>
      </c>
      <c r="T207" t="e">
        <f ca="1">NT_DIST($Q207,T$5,$R$3,FALSE)</f>
        <v>#NAME?</v>
      </c>
      <c r="U207" t="e">
        <f ca="1">NT_DIST($Q207,U$5,$R$3,FALSE)</f>
        <v>#NAME?</v>
      </c>
    </row>
    <row r="208" spans="1:21" x14ac:dyDescent="0.25">
      <c r="A208">
        <f t="shared" si="6"/>
        <v>9.9999999999999627</v>
      </c>
      <c r="B208" t="e">
        <f ca="1">NT_DIST($A208,$B$3,B$5,FALSE)</f>
        <v>#NAME?</v>
      </c>
      <c r="C208" t="e">
        <f ca="1">NT_DIST($A208,$B$3,C$5,FALSE)</f>
        <v>#NAME?</v>
      </c>
      <c r="D208" t="e">
        <f ca="1">NT_DIST($A208,$B$3,D$5,FALSE)</f>
        <v>#NAME?</v>
      </c>
      <c r="E208" t="e">
        <f ca="1">NT_DIST($A208,$B$3,E$5,FALSE)</f>
        <v>#NAME?</v>
      </c>
      <c r="Q208">
        <f t="shared" si="7"/>
        <v>13.999999999999963</v>
      </c>
      <c r="R208" t="e">
        <f ca="1">NT_DIST($Q208,R$5,$R$3,FALSE)</f>
        <v>#NAME?</v>
      </c>
      <c r="S208" t="e">
        <f ca="1">NT_DIST($Q208,S$5,$R$3,FALSE)</f>
        <v>#NAME?</v>
      </c>
      <c r="T208" t="e">
        <f ca="1">NT_DIST($Q208,T$5,$R$3,FALSE)</f>
        <v>#NAME?</v>
      </c>
      <c r="U208" t="e">
        <f ca="1">NT_DIST($Q208,U$5,$R$3,FALSE)</f>
        <v>#NAME?</v>
      </c>
    </row>
    <row r="209" spans="1:21" x14ac:dyDescent="0.25">
      <c r="A209">
        <f t="shared" si="6"/>
        <v>10.099999999999962</v>
      </c>
      <c r="B209" t="e">
        <f ca="1">NT_DIST($A209,$B$3,B$5,FALSE)</f>
        <v>#NAME?</v>
      </c>
      <c r="C209" t="e">
        <f ca="1">NT_DIST($A209,$B$3,C$5,FALSE)</f>
        <v>#NAME?</v>
      </c>
      <c r="D209" t="e">
        <f ca="1">NT_DIST($A209,$B$3,D$5,FALSE)</f>
        <v>#NAME?</v>
      </c>
      <c r="E209" t="e">
        <f ca="1">NT_DIST($A209,$B$3,E$5,FALSE)</f>
        <v>#NAME?</v>
      </c>
      <c r="Q209">
        <f t="shared" si="7"/>
        <v>14.099999999999962</v>
      </c>
      <c r="R209" t="e">
        <f ca="1">NT_DIST($Q209,R$5,$R$3,FALSE)</f>
        <v>#NAME?</v>
      </c>
      <c r="S209" t="e">
        <f ca="1">NT_DIST($Q209,S$5,$R$3,FALSE)</f>
        <v>#NAME?</v>
      </c>
      <c r="T209" t="e">
        <f ca="1">NT_DIST($Q209,T$5,$R$3,FALSE)</f>
        <v>#NAME?</v>
      </c>
      <c r="U209" t="e">
        <f ca="1">NT_DIST($Q209,U$5,$R$3,FALSE)</f>
        <v>#NAME?</v>
      </c>
    </row>
  </sheetData>
  <pageMargins left="0.7" right="0.7" top="0.75" bottom="0.75" header="0.3" footer="0.3"/>
  <pageSetup paperSize="9" orientation="portrait" r:id="rId1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9"/>
  <dimension ref="A1:AC24"/>
  <sheetViews>
    <sheetView workbookViewId="0"/>
  </sheetViews>
  <sheetFormatPr defaultRowHeight="15" x14ac:dyDescent="0.25"/>
  <cols>
    <col min="1" max="4" width="6" customWidth="1"/>
    <col min="16" max="16" width="9.140625" customWidth="1"/>
    <col min="17" max="17" width="4.85546875" customWidth="1"/>
    <col min="19" max="19" width="9.140625" customWidth="1"/>
    <col min="21" max="21" width="10" customWidth="1"/>
    <col min="23" max="23" width="3.7109375" customWidth="1"/>
    <col min="24" max="24" width="23.7109375" customWidth="1"/>
    <col min="26" max="26" width="10.140625" customWidth="1"/>
    <col min="28" max="28" width="3.42578125" customWidth="1"/>
    <col min="29" max="29" width="36.28515625" customWidth="1"/>
  </cols>
  <sheetData>
    <row r="1" spans="1:29" x14ac:dyDescent="0.25">
      <c r="A1" s="1" t="s">
        <v>1209</v>
      </c>
    </row>
    <row r="3" spans="1:29" x14ac:dyDescent="0.25">
      <c r="A3" s="24" t="s">
        <v>187</v>
      </c>
      <c r="F3" t="s">
        <v>175</v>
      </c>
      <c r="P3" s="450" t="s">
        <v>1217</v>
      </c>
      <c r="Q3" s="450"/>
      <c r="R3" s="450"/>
      <c r="U3" t="s">
        <v>997</v>
      </c>
      <c r="Z3" s="450" t="s">
        <v>1222</v>
      </c>
      <c r="AB3" s="450"/>
      <c r="AC3" s="450"/>
    </row>
    <row r="5" spans="1:29" ht="15.75" thickBot="1" x14ac:dyDescent="0.3">
      <c r="A5" s="60">
        <v>63</v>
      </c>
      <c r="B5" s="61">
        <v>58</v>
      </c>
      <c r="C5" s="61">
        <v>76</v>
      </c>
      <c r="D5" s="55">
        <v>59</v>
      </c>
      <c r="F5" t="s">
        <v>176</v>
      </c>
      <c r="I5" t="s">
        <v>114</v>
      </c>
      <c r="J5">
        <v>0.05</v>
      </c>
      <c r="O5" t="s">
        <v>177</v>
      </c>
      <c r="P5" s="439">
        <f>J7</f>
        <v>-3.6639277999347044</v>
      </c>
      <c r="R5" t="s">
        <v>177</v>
      </c>
      <c r="S5" s="439">
        <f>J7</f>
        <v>-3.6639277999347044</v>
      </c>
      <c r="U5" t="s">
        <v>177</v>
      </c>
      <c r="V5" s="439">
        <f>ABS(J7)</f>
        <v>3.6639277999347044</v>
      </c>
      <c r="X5" t="e">
        <f ca="1">FTEXT(V5)</f>
        <v>#NAME?</v>
      </c>
      <c r="Z5" t="s">
        <v>177</v>
      </c>
      <c r="AA5" s="439">
        <f>ABS(J7)</f>
        <v>3.6639277999347044</v>
      </c>
      <c r="AC5" t="e">
        <f ca="1">FTEXT(AA5)</f>
        <v>#NAME?</v>
      </c>
    </row>
    <row r="6" spans="1:29" ht="15.75" thickTop="1" x14ac:dyDescent="0.25">
      <c r="A6" s="62">
        <v>95</v>
      </c>
      <c r="B6" s="63">
        <v>84</v>
      </c>
      <c r="C6" s="63">
        <v>83</v>
      </c>
      <c r="D6" s="56">
        <v>68</v>
      </c>
      <c r="F6" s="291" t="s">
        <v>87</v>
      </c>
      <c r="G6" s="291" t="s">
        <v>75</v>
      </c>
      <c r="H6" s="291" t="s">
        <v>164</v>
      </c>
      <c r="I6" s="291" t="s">
        <v>165</v>
      </c>
      <c r="J6" s="291" t="s">
        <v>177</v>
      </c>
      <c r="K6" s="291" t="s">
        <v>168</v>
      </c>
      <c r="L6" s="291" t="s">
        <v>178</v>
      </c>
      <c r="M6" s="291" t="s">
        <v>179</v>
      </c>
      <c r="O6" s="146" t="s">
        <v>168</v>
      </c>
      <c r="P6" s="163">
        <f>K7</f>
        <v>39</v>
      </c>
      <c r="R6" s="146" t="s">
        <v>168</v>
      </c>
      <c r="S6" s="163">
        <f>K7</f>
        <v>39</v>
      </c>
      <c r="U6" s="146" t="s">
        <v>168</v>
      </c>
      <c r="V6" s="163">
        <f>K7</f>
        <v>39</v>
      </c>
      <c r="X6" t="e">
        <f ca="1">FTEXT(V6)</f>
        <v>#NAME?</v>
      </c>
      <c r="Z6" s="146" t="s">
        <v>168</v>
      </c>
      <c r="AA6" s="163">
        <f>K7</f>
        <v>39</v>
      </c>
      <c r="AC6" t="e">
        <f ca="1">FTEXT(AA6)</f>
        <v>#NAME?</v>
      </c>
    </row>
    <row r="7" spans="1:29" x14ac:dyDescent="0.25">
      <c r="A7" s="62">
        <v>81</v>
      </c>
      <c r="B7" s="63">
        <v>90</v>
      </c>
      <c r="C7" s="63">
        <v>87</v>
      </c>
      <c r="D7" s="56">
        <v>45</v>
      </c>
      <c r="F7">
        <f>COUNT(A5:D14)</f>
        <v>40</v>
      </c>
      <c r="G7">
        <f>AVERAGE(A5:D14)</f>
        <v>68.400000000000006</v>
      </c>
      <c r="H7">
        <f>STDEV(A5:D14)</f>
        <v>16.571213842236432</v>
      </c>
      <c r="I7">
        <f>H7/SQRT(F7)</f>
        <v>2.6201389667588639</v>
      </c>
      <c r="J7">
        <f>(G7-J9)/I7</f>
        <v>-3.6639277999347044</v>
      </c>
      <c r="K7">
        <f>F7-1</f>
        <v>39</v>
      </c>
      <c r="L7">
        <f>ABS(G7-J9)/H7</f>
        <v>0.57931785151016968</v>
      </c>
      <c r="M7">
        <f>SQRT(J7^2/(J7^2+K7))</f>
        <v>0.50603471310739712</v>
      </c>
      <c r="O7" t="s">
        <v>262</v>
      </c>
      <c r="P7" s="163" t="e">
        <f ca="1">NT_DIST(P5,P6,P8,TRUE)</f>
        <v>#NAME?</v>
      </c>
      <c r="R7" t="s">
        <v>262</v>
      </c>
      <c r="S7" s="163" t="e">
        <f ca="1">NT_DIST(S5,S6,S8,TRUE)</f>
        <v>#NAME?</v>
      </c>
      <c r="U7" t="s">
        <v>262</v>
      </c>
      <c r="V7" s="163" t="e">
        <f ca="1">NT_DIST(V5,V6,V8,TRUE)</f>
        <v>#NAME?</v>
      </c>
      <c r="X7" t="e">
        <f ca="1">FTEXT(V7)</f>
        <v>#NAME?</v>
      </c>
      <c r="Z7" t="s">
        <v>105</v>
      </c>
      <c r="AA7" s="163">
        <f>AA6+1</f>
        <v>40</v>
      </c>
      <c r="AC7" t="e">
        <f ca="1">FTEXT(AA7)</f>
        <v>#NAME?</v>
      </c>
    </row>
    <row r="8" spans="1:29" x14ac:dyDescent="0.25">
      <c r="A8" s="62">
        <v>75</v>
      </c>
      <c r="B8" s="63">
        <v>38</v>
      </c>
      <c r="C8" s="63">
        <v>54</v>
      </c>
      <c r="D8" s="56">
        <v>52</v>
      </c>
      <c r="F8" s="292"/>
      <c r="G8" s="292"/>
      <c r="H8" s="292"/>
      <c r="I8" s="292"/>
      <c r="J8" s="292"/>
      <c r="K8" s="292"/>
      <c r="L8" s="292"/>
      <c r="M8" s="292"/>
      <c r="O8" t="s">
        <v>1210</v>
      </c>
      <c r="P8" s="163">
        <v>-1.5100000000000002</v>
      </c>
      <c r="R8" t="s">
        <v>1210</v>
      </c>
      <c r="S8" s="163">
        <v>-5.7791388004040147</v>
      </c>
      <c r="U8" t="s">
        <v>1210</v>
      </c>
      <c r="V8" s="163">
        <v>5.7791388004040156</v>
      </c>
      <c r="Z8" t="s">
        <v>262</v>
      </c>
      <c r="AA8" s="439">
        <v>0.05</v>
      </c>
    </row>
    <row r="9" spans="1:29" ht="15.75" thickBot="1" x14ac:dyDescent="0.3">
      <c r="A9" s="62">
        <v>90</v>
      </c>
      <c r="B9" s="63">
        <v>100</v>
      </c>
      <c r="C9" s="63">
        <v>45</v>
      </c>
      <c r="D9" s="56">
        <v>76</v>
      </c>
      <c r="F9" t="s">
        <v>180</v>
      </c>
      <c r="I9" t="s">
        <v>167</v>
      </c>
      <c r="J9">
        <v>78</v>
      </c>
      <c r="O9" t="s">
        <v>139</v>
      </c>
      <c r="P9" s="155">
        <f>P8/SQRT(AA6+1)</f>
        <v>-0.23875196334271268</v>
      </c>
      <c r="R9" t="s">
        <v>139</v>
      </c>
      <c r="S9" s="155">
        <f>S8/SQRT(S6+1)</f>
        <v>-0.91376207617649507</v>
      </c>
      <c r="U9" t="s">
        <v>139</v>
      </c>
      <c r="V9" s="155">
        <f>V8/SQRT(V6+1)</f>
        <v>0.91376207617649519</v>
      </c>
      <c r="X9" t="e">
        <f ca="1">FTEXT(V9)</f>
        <v>#NAME?</v>
      </c>
      <c r="Z9" s="408" t="s">
        <v>139</v>
      </c>
      <c r="AA9" s="163">
        <f>L7</f>
        <v>0.57931785151016968</v>
      </c>
      <c r="AC9" t="e">
        <f ca="1">FTEXT(AA9)</f>
        <v>#NAME?</v>
      </c>
    </row>
    <row r="10" spans="1:29" ht="15.75" thickTop="1" x14ac:dyDescent="0.25">
      <c r="A10" s="62">
        <v>64</v>
      </c>
      <c r="B10" s="63">
        <v>80</v>
      </c>
      <c r="C10" s="63">
        <v>58</v>
      </c>
      <c r="D10" s="56">
        <v>78</v>
      </c>
      <c r="F10" s="291" t="s">
        <v>181</v>
      </c>
      <c r="G10" s="291" t="s">
        <v>182</v>
      </c>
      <c r="H10" s="291" t="s">
        <v>183</v>
      </c>
      <c r="I10" s="291" t="s">
        <v>102</v>
      </c>
      <c r="J10" s="291" t="s">
        <v>103</v>
      </c>
      <c r="K10" s="291" t="s">
        <v>381</v>
      </c>
      <c r="Z10" s="408" t="s">
        <v>1220</v>
      </c>
      <c r="AA10" s="163" t="e">
        <f ca="1">NT_NCP(1-AA8/2,AA6,AA5)/SQRT(AA7)</f>
        <v>#NAME?</v>
      </c>
      <c r="AC10" t="e">
        <f ca="1">FTEXT(AA10)</f>
        <v>#NAME?</v>
      </c>
    </row>
    <row r="11" spans="1:29" x14ac:dyDescent="0.25">
      <c r="A11" s="62">
        <v>45</v>
      </c>
      <c r="B11" s="63">
        <v>68</v>
      </c>
      <c r="C11" s="63">
        <v>64</v>
      </c>
      <c r="D11" s="56">
        <v>50</v>
      </c>
      <c r="F11" t="s">
        <v>185</v>
      </c>
      <c r="G11">
        <f>TDIST(ABS(J7),K7,1)</f>
        <v>3.6855131038946804E-4</v>
      </c>
      <c r="H11">
        <f>TINV(J5*2,K7)</f>
        <v>1.6848751217112248</v>
      </c>
      <c r="K11" s="438" t="str">
        <f>IF(G11&lt;J5,"yes","no")</f>
        <v>yes</v>
      </c>
      <c r="Z11" s="408" t="s">
        <v>1221</v>
      </c>
      <c r="AA11" s="155" t="e">
        <f ca="1">NT_NCP(AA8/2,AA6,AA5)/SQRT(AA7)</f>
        <v>#NAME?</v>
      </c>
      <c r="AC11" t="e">
        <f ca="1">FTEXT(AA11)</f>
        <v>#NAME?</v>
      </c>
    </row>
    <row r="12" spans="1:29" x14ac:dyDescent="0.25">
      <c r="A12" s="62">
        <v>59</v>
      </c>
      <c r="B12" s="63">
        <v>49</v>
      </c>
      <c r="C12" s="63">
        <v>63</v>
      </c>
      <c r="D12" s="56">
        <v>75</v>
      </c>
      <c r="F12" t="s">
        <v>186</v>
      </c>
      <c r="G12">
        <f>TDIST(ABS(J7),K7,2)</f>
        <v>7.3710262077893607E-4</v>
      </c>
      <c r="H12">
        <f>TINV(J5,K7)</f>
        <v>2.0226909200367595</v>
      </c>
      <c r="I12">
        <f>G7-H12*I7</f>
        <v>63.100268702702351</v>
      </c>
      <c r="J12">
        <f>G7+H12*I7</f>
        <v>73.69973129729766</v>
      </c>
      <c r="K12" s="438" t="str">
        <f>IF(G12&lt;J5,"yes","no")</f>
        <v>yes</v>
      </c>
      <c r="P12" t="s">
        <v>1211</v>
      </c>
      <c r="U12" t="s">
        <v>1216</v>
      </c>
      <c r="Z12" s="408" t="s">
        <v>140</v>
      </c>
      <c r="AA12" s="163">
        <v>0.05</v>
      </c>
    </row>
    <row r="13" spans="1:29" x14ac:dyDescent="0.25">
      <c r="A13" s="62">
        <v>72</v>
      </c>
      <c r="B13" s="63">
        <v>68</v>
      </c>
      <c r="C13" s="63">
        <v>92</v>
      </c>
      <c r="D13" s="56">
        <v>64</v>
      </c>
      <c r="F13" s="292"/>
      <c r="G13" s="292"/>
      <c r="H13" s="292"/>
      <c r="I13" s="292"/>
      <c r="J13" s="292"/>
      <c r="K13" s="292"/>
      <c r="Z13" t="s">
        <v>1076</v>
      </c>
      <c r="AA13" s="163" t="e">
        <f ca="1">T1_POWER(AA9,AA7,2,AA12)</f>
        <v>#NAME?</v>
      </c>
      <c r="AC13" t="e">
        <f ca="1">FTEXT(AA13)</f>
        <v>#NAME?</v>
      </c>
    </row>
    <row r="14" spans="1:29" x14ac:dyDescent="0.25">
      <c r="A14" s="64">
        <v>35</v>
      </c>
      <c r="B14" s="65">
        <v>60</v>
      </c>
      <c r="C14" s="65">
        <v>87</v>
      </c>
      <c r="D14" s="57">
        <v>86</v>
      </c>
      <c r="O14" t="s">
        <v>177</v>
      </c>
      <c r="P14" s="439">
        <f>AA5</f>
        <v>3.6639277999347044</v>
      </c>
      <c r="R14" t="s">
        <v>177</v>
      </c>
      <c r="S14" s="439">
        <f>P14</f>
        <v>3.6639277999347044</v>
      </c>
      <c r="U14" t="s">
        <v>177</v>
      </c>
      <c r="V14" s="439">
        <f>ABS(J7)</f>
        <v>3.6639277999347044</v>
      </c>
      <c r="X14" t="e">
        <f ca="1">FTEXT(V14)</f>
        <v>#NAME?</v>
      </c>
      <c r="Z14" t="s">
        <v>1218</v>
      </c>
      <c r="AA14" s="163" t="e">
        <f ca="1">T1_POWER(AA10,AA7,2,AA12)</f>
        <v>#NAME?</v>
      </c>
      <c r="AC14" t="e">
        <f ca="1">FTEXT(AA14)</f>
        <v>#NAME?</v>
      </c>
    </row>
    <row r="15" spans="1:29" x14ac:dyDescent="0.25">
      <c r="O15" s="146" t="s">
        <v>168</v>
      </c>
      <c r="P15" s="163">
        <f>AA6</f>
        <v>39</v>
      </c>
      <c r="R15" s="146" t="s">
        <v>168</v>
      </c>
      <c r="S15" s="163">
        <f>P15</f>
        <v>39</v>
      </c>
      <c r="U15" s="146" t="s">
        <v>168</v>
      </c>
      <c r="V15" s="163">
        <f>K7</f>
        <v>39</v>
      </c>
      <c r="X15" t="e">
        <f ca="1">FTEXT(V15)</f>
        <v>#NAME?</v>
      </c>
      <c r="Z15" t="s">
        <v>1219</v>
      </c>
      <c r="AA15" s="155" t="e">
        <f ca="1">T1_POWER(AA11,AA7,2,AA12)</f>
        <v>#NAME?</v>
      </c>
      <c r="AC15" t="e">
        <f ca="1">FTEXT(AA15)</f>
        <v>#NAME?</v>
      </c>
    </row>
    <row r="16" spans="1:29" x14ac:dyDescent="0.25">
      <c r="O16" t="s">
        <v>262</v>
      </c>
      <c r="P16" s="163">
        <v>2.5000000000000001E-2</v>
      </c>
      <c r="R16" t="s">
        <v>262</v>
      </c>
      <c r="S16" s="163">
        <v>0.97499999999999998</v>
      </c>
      <c r="U16" t="s">
        <v>262</v>
      </c>
      <c r="V16" s="163">
        <v>2.5000000000000001E-2</v>
      </c>
    </row>
    <row r="17" spans="15:24" x14ac:dyDescent="0.25">
      <c r="O17" t="s">
        <v>1210</v>
      </c>
      <c r="P17" s="163" t="e">
        <f ca="1">NT_NCP(P16,P15,P14)</f>
        <v>#NAME?</v>
      </c>
      <c r="R17" t="s">
        <v>1210</v>
      </c>
      <c r="S17" s="163" t="e">
        <f ca="1">NT_NCP(S16,S15,S14)</f>
        <v>#NAME?</v>
      </c>
      <c r="U17" t="s">
        <v>1210</v>
      </c>
      <c r="V17" s="163" t="e">
        <f ca="1">NT_NCP(V16,V15,V14)</f>
        <v>#NAME?</v>
      </c>
      <c r="X17" t="e">
        <f ca="1">FTEXT(V17)</f>
        <v>#NAME?</v>
      </c>
    </row>
    <row r="18" spans="15:24" x14ac:dyDescent="0.25">
      <c r="O18" t="s">
        <v>139</v>
      </c>
      <c r="P18" s="155" t="e">
        <f ca="1">P17/SQRT(P15+1)</f>
        <v>#NAME?</v>
      </c>
      <c r="R18" t="s">
        <v>139</v>
      </c>
      <c r="S18" s="155" t="e">
        <f ca="1">S17/SQRT(S15+1)</f>
        <v>#NAME?</v>
      </c>
      <c r="U18" t="s">
        <v>139</v>
      </c>
      <c r="V18" s="155" t="e">
        <f ca="1">V17/SQRT(V15+1)</f>
        <v>#NAME?</v>
      </c>
      <c r="X18" t="e">
        <f ca="1">FTEXT(V18)</f>
        <v>#NAME?</v>
      </c>
    </row>
    <row r="21" spans="15:24" x14ac:dyDescent="0.25">
      <c r="U21" t="s">
        <v>369</v>
      </c>
    </row>
    <row r="23" spans="15:24" x14ac:dyDescent="0.25">
      <c r="U23" t="s">
        <v>997</v>
      </c>
      <c r="V23" s="439" t="e">
        <f ca="1">NT_DIST(V5,V6,V8,TRUE)</f>
        <v>#NAME?</v>
      </c>
      <c r="X23" t="e">
        <f ca="1">FTEXT(V23)</f>
        <v>#NAME?</v>
      </c>
    </row>
    <row r="24" spans="15:24" x14ac:dyDescent="0.25">
      <c r="U24" t="s">
        <v>1216</v>
      </c>
      <c r="V24" s="155" t="e">
        <f ca="1">NT_DIST(V14,V15,V17,TRUE)</f>
        <v>#NAME?</v>
      </c>
      <c r="X24" t="e">
        <f ca="1">FTEXT(V24)</f>
        <v>#NAME?</v>
      </c>
    </row>
  </sheetData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5"/>
  <dimension ref="A1:I22"/>
  <sheetViews>
    <sheetView workbookViewId="0">
      <selection activeCell="G18" sqref="G18"/>
    </sheetView>
  </sheetViews>
  <sheetFormatPr defaultRowHeight="15" x14ac:dyDescent="0.25"/>
  <cols>
    <col min="2" max="2" width="4.85546875" customWidth="1"/>
    <col min="5" max="5" width="4.7109375" customWidth="1"/>
    <col min="6" max="6" width="11.85546875" customWidth="1"/>
    <col min="8" max="8" width="3" customWidth="1"/>
    <col min="9" max="9" width="21.42578125" customWidth="1"/>
  </cols>
  <sheetData>
    <row r="1" spans="1:9" x14ac:dyDescent="0.25">
      <c r="A1" s="1" t="s">
        <v>1448</v>
      </c>
    </row>
    <row r="3" spans="1:9" x14ac:dyDescent="0.25">
      <c r="A3" s="492" t="s">
        <v>1449</v>
      </c>
      <c r="C3" t="s">
        <v>703</v>
      </c>
      <c r="F3" t="s">
        <v>64</v>
      </c>
      <c r="G3" s="486">
        <f>COUNT(A4:A13)</f>
        <v>10</v>
      </c>
      <c r="I3" t="e">
        <f ca="1">FTEXT(G3)</f>
        <v>#NAME?</v>
      </c>
    </row>
    <row r="4" spans="1:9" x14ac:dyDescent="0.25">
      <c r="A4" s="521">
        <v>80</v>
      </c>
      <c r="F4" t="s">
        <v>63</v>
      </c>
      <c r="G4" s="163">
        <f>AVERAGE(A4:A13)</f>
        <v>112.1</v>
      </c>
      <c r="I4" t="e">
        <f ca="1">FTEXT(G4)</f>
        <v>#NAME?</v>
      </c>
    </row>
    <row r="5" spans="1:9" x14ac:dyDescent="0.25">
      <c r="A5" s="521">
        <v>87</v>
      </c>
      <c r="C5" s="324"/>
      <c r="D5" s="324" t="str">
        <f>A3</f>
        <v>Length</v>
      </c>
      <c r="F5" t="s">
        <v>66</v>
      </c>
      <c r="G5" s="163">
        <f>STDEV(A4:A13)</f>
        <v>25.119492210012691</v>
      </c>
      <c r="I5" s="22" t="s">
        <v>1450</v>
      </c>
    </row>
    <row r="6" spans="1:9" x14ac:dyDescent="0.25">
      <c r="A6" s="521">
        <v>92</v>
      </c>
      <c r="C6" t="s">
        <v>426</v>
      </c>
      <c r="D6" t="e">
        <f ca="1">SHAPIRO(A4:A13)</f>
        <v>#NAME?</v>
      </c>
      <c r="F6" t="s">
        <v>1451</v>
      </c>
      <c r="G6" s="163">
        <f>G5/G4</f>
        <v>0.22408110802865916</v>
      </c>
      <c r="I6" t="e">
        <f ca="1">FTEXT(G6)</f>
        <v>#NAME?</v>
      </c>
    </row>
    <row r="7" spans="1:9" x14ac:dyDescent="0.25">
      <c r="A7" s="521">
        <v>95</v>
      </c>
      <c r="C7" t="s">
        <v>182</v>
      </c>
      <c r="D7" t="e">
        <f ca="1">SWTEST(A4:A13)</f>
        <v>#NAME?</v>
      </c>
      <c r="F7" t="s">
        <v>1452</v>
      </c>
      <c r="G7" s="163">
        <f>G6*(1+1/(4*G3))</f>
        <v>0.22968313572937563</v>
      </c>
      <c r="I7" t="e">
        <f ca="1">FTEXT(G7)</f>
        <v>#NAME?</v>
      </c>
    </row>
    <row r="8" spans="1:9" x14ac:dyDescent="0.25">
      <c r="A8" s="521">
        <v>101</v>
      </c>
      <c r="C8" t="s">
        <v>262</v>
      </c>
      <c r="D8">
        <v>0.05</v>
      </c>
      <c r="F8" t="s">
        <v>372</v>
      </c>
      <c r="G8" s="163">
        <f>G7/SQRT(2*G3)</f>
        <v>5.135871047761946E-2</v>
      </c>
      <c r="I8" t="e">
        <f ca="1">FTEXT(G8)</f>
        <v>#NAME?</v>
      </c>
    </row>
    <row r="9" spans="1:9" x14ac:dyDescent="0.25">
      <c r="A9" s="521">
        <v>120</v>
      </c>
      <c r="C9" s="276" t="s">
        <v>704</v>
      </c>
      <c r="D9" s="320" t="e">
        <f ca="1">IF(D7&lt;D8,"no","yes")</f>
        <v>#NAME?</v>
      </c>
      <c r="F9" t="s">
        <v>177</v>
      </c>
      <c r="G9" s="163">
        <f>G6/G8</f>
        <v>4.3630594682922732</v>
      </c>
      <c r="I9" t="e">
        <f ca="1">FTEXT(G9)</f>
        <v>#NAME?</v>
      </c>
    </row>
    <row r="10" spans="1:9" x14ac:dyDescent="0.25">
      <c r="A10" s="521">
        <v>126</v>
      </c>
      <c r="F10" t="s">
        <v>168</v>
      </c>
      <c r="G10" s="163">
        <f>G3-1</f>
        <v>9</v>
      </c>
      <c r="I10" t="e">
        <f ca="1">FTEXT(G10)</f>
        <v>#NAME?</v>
      </c>
    </row>
    <row r="11" spans="1:9" x14ac:dyDescent="0.25">
      <c r="A11" s="521">
        <v>128</v>
      </c>
      <c r="F11" t="s">
        <v>182</v>
      </c>
      <c r="G11" s="163">
        <f>TDIST(G9,G10,2)</f>
        <v>1.8153520613418321E-3</v>
      </c>
      <c r="I11" s="22" t="s">
        <v>1453</v>
      </c>
    </row>
    <row r="12" spans="1:9" x14ac:dyDescent="0.25">
      <c r="A12" s="521">
        <v>132</v>
      </c>
      <c r="F12" t="s">
        <v>262</v>
      </c>
      <c r="G12" s="163">
        <v>0.05</v>
      </c>
    </row>
    <row r="13" spans="1:9" x14ac:dyDescent="0.25">
      <c r="A13" s="523">
        <v>160</v>
      </c>
      <c r="F13" t="s">
        <v>183</v>
      </c>
      <c r="G13" s="163">
        <f>TINV(G12,G10)</f>
        <v>2.2621571627982053</v>
      </c>
      <c r="I13" s="22" t="s">
        <v>1454</v>
      </c>
    </row>
    <row r="14" spans="1:9" x14ac:dyDescent="0.25">
      <c r="F14" t="s">
        <v>102</v>
      </c>
      <c r="G14" s="163">
        <f>G6-G8*G13</f>
        <v>0.10789963324963306</v>
      </c>
      <c r="I14" t="e">
        <f ca="1">FTEXT(G14)</f>
        <v>#NAME?</v>
      </c>
    </row>
    <row r="15" spans="1:9" x14ac:dyDescent="0.25">
      <c r="F15" t="s">
        <v>103</v>
      </c>
      <c r="G15" s="155">
        <f>G6+G8*G13</f>
        <v>0.34026258280768529</v>
      </c>
      <c r="I15" t="e">
        <f ca="1">FTEXT(G15)</f>
        <v>#NAME?</v>
      </c>
    </row>
    <row r="17" spans="6:9" x14ac:dyDescent="0.25">
      <c r="F17" t="e">
        <f t="array" aca="1" ref="F17:G22" ca="1">CVTEST(A4:A13,TRUE)</f>
        <v>#NAME?</v>
      </c>
      <c r="G17" s="45" t="e">
        <f ca="1"/>
        <v>#NAME?</v>
      </c>
      <c r="I17" t="e">
        <f ca="1">FTEXT(G17)</f>
        <v>#NAME?</v>
      </c>
    </row>
    <row r="18" spans="6:9" x14ac:dyDescent="0.25">
      <c r="F18" t="e">
        <f ca="1"/>
        <v>#NAME?</v>
      </c>
      <c r="G18" s="163" t="e">
        <f ca="1"/>
        <v>#NAME?</v>
      </c>
    </row>
    <row r="19" spans="6:9" x14ac:dyDescent="0.25">
      <c r="F19" t="e">
        <f ca="1"/>
        <v>#NAME?</v>
      </c>
      <c r="G19" s="163" t="e">
        <f ca="1"/>
        <v>#NAME?</v>
      </c>
    </row>
    <row r="20" spans="6:9" x14ac:dyDescent="0.25">
      <c r="F20" t="e">
        <f ca="1"/>
        <v>#NAME?</v>
      </c>
      <c r="G20" s="163" t="e">
        <f ca="1"/>
        <v>#NAME?</v>
      </c>
    </row>
    <row r="21" spans="6:9" x14ac:dyDescent="0.25">
      <c r="F21" t="e">
        <f ca="1"/>
        <v>#NAME?</v>
      </c>
      <c r="G21" s="163" t="e">
        <f ca="1"/>
        <v>#NAME?</v>
      </c>
    </row>
    <row r="22" spans="6:9" x14ac:dyDescent="0.25">
      <c r="F22" t="e">
        <f ca="1"/>
        <v>#NAME?</v>
      </c>
      <c r="G22" s="155" t="e">
        <f ca="1"/>
        <v>#NAME?</v>
      </c>
    </row>
  </sheetData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/>
  <dimension ref="A1:M20"/>
  <sheetViews>
    <sheetView workbookViewId="0"/>
  </sheetViews>
  <sheetFormatPr defaultRowHeight="15" x14ac:dyDescent="0.25"/>
  <cols>
    <col min="1" max="2" width="7.140625" customWidth="1"/>
    <col min="3" max="3" width="4.5703125" customWidth="1"/>
    <col min="4" max="4" width="6.28515625" customWidth="1"/>
    <col min="7" max="7" width="3.140625" customWidth="1"/>
    <col min="8" max="8" width="17.7109375" customWidth="1"/>
    <col min="9" max="9" width="4.5703125" customWidth="1"/>
    <col min="10" max="10" width="9.28515625" customWidth="1"/>
    <col min="12" max="12" width="3.140625" customWidth="1"/>
    <col min="13" max="13" width="37.5703125" customWidth="1"/>
  </cols>
  <sheetData>
    <row r="1" spans="1:13" x14ac:dyDescent="0.25">
      <c r="A1" s="1" t="s">
        <v>1455</v>
      </c>
    </row>
    <row r="3" spans="1:13" x14ac:dyDescent="0.25">
      <c r="A3" s="492" t="s">
        <v>1456</v>
      </c>
      <c r="B3" s="492" t="s">
        <v>1457</v>
      </c>
      <c r="E3" s="492" t="s">
        <v>1456</v>
      </c>
      <c r="F3" s="492" t="s">
        <v>1457</v>
      </c>
      <c r="G3" s="522"/>
      <c r="H3" s="522"/>
      <c r="J3" t="s">
        <v>1458</v>
      </c>
      <c r="K3" s="486">
        <f>(E8*E7+F8*F7)/(E8+F8)</f>
        <v>7.9218880999110911E-2</v>
      </c>
      <c r="M3" t="e">
        <f ca="1">FTEXT(K3)</f>
        <v>#NAME?</v>
      </c>
    </row>
    <row r="4" spans="1:13" x14ac:dyDescent="0.25">
      <c r="A4">
        <v>71.2</v>
      </c>
      <c r="B4">
        <v>187.9</v>
      </c>
      <c r="D4" t="s">
        <v>64</v>
      </c>
      <c r="E4">
        <f>COUNT(A4:A14)</f>
        <v>10</v>
      </c>
      <c r="F4">
        <f>COUNT(B4:B14)</f>
        <v>11</v>
      </c>
      <c r="H4" t="e">
        <f ca="1">FTEXT(F4)</f>
        <v>#NAME?</v>
      </c>
      <c r="J4" t="s">
        <v>63</v>
      </c>
      <c r="K4" s="215">
        <f>E7-F7</f>
        <v>3.4601186184964106E-2</v>
      </c>
      <c r="M4" t="e">
        <f ca="1">FTEXT(K4)</f>
        <v>#NAME?</v>
      </c>
    </row>
    <row r="5" spans="1:13" x14ac:dyDescent="0.25">
      <c r="A5">
        <v>73.7</v>
      </c>
      <c r="B5">
        <v>172.10000000000002</v>
      </c>
      <c r="D5" t="s">
        <v>63</v>
      </c>
      <c r="E5" s="52">
        <f>AVERAGE(A4:A14)</f>
        <v>71.200000000000017</v>
      </c>
      <c r="F5" s="52">
        <f>AVERAGE(B4:B14)</f>
        <v>179.9909090909091</v>
      </c>
      <c r="G5" s="52"/>
      <c r="H5" t="e">
        <f ca="1">FTEXT(F5)</f>
        <v>#NAME?</v>
      </c>
      <c r="J5" t="s">
        <v>66</v>
      </c>
      <c r="K5" s="163">
        <f>SQRT((K3^2/E8+K3^2/F8)*(K3^2+0.5))</f>
        <v>2.589868784409095E-2</v>
      </c>
      <c r="M5" t="e">
        <f ca="1">FTEXT(K5)</f>
        <v>#NAME?</v>
      </c>
    </row>
    <row r="6" spans="1:13" x14ac:dyDescent="0.25">
      <c r="A6">
        <v>58.1</v>
      </c>
      <c r="B6">
        <v>170.3</v>
      </c>
      <c r="D6" t="s">
        <v>66</v>
      </c>
      <c r="E6">
        <f>STDEV(A4:A14)</f>
        <v>6.9370182515416694</v>
      </c>
      <c r="F6">
        <f>STDEV(B4:B14)</f>
        <v>11.308621007484023</v>
      </c>
      <c r="H6" s="22" t="s">
        <v>1459</v>
      </c>
      <c r="J6" t="s">
        <v>124</v>
      </c>
      <c r="K6" s="163">
        <f>K4/K5</f>
        <v>1.3360208205628734</v>
      </c>
      <c r="M6" t="e">
        <f ca="1">FTEXT(K6)</f>
        <v>#NAME?</v>
      </c>
    </row>
    <row r="7" spans="1:13" x14ac:dyDescent="0.25">
      <c r="A7">
        <v>61.3</v>
      </c>
      <c r="B7">
        <v>195.9</v>
      </c>
      <c r="D7" t="s">
        <v>1451</v>
      </c>
      <c r="E7">
        <f>E6/E5</f>
        <v>9.7430031622776234E-2</v>
      </c>
      <c r="F7">
        <f>F6/F5</f>
        <v>6.2828845437812128E-2</v>
      </c>
      <c r="H7" t="e">
        <f ca="1">FTEXT(F7)</f>
        <v>#NAME?</v>
      </c>
      <c r="J7" t="s">
        <v>182</v>
      </c>
      <c r="K7" s="163">
        <f>2*(1-NORMSDIST(K6))</f>
        <v>0.18154246809897656</v>
      </c>
      <c r="M7" s="22" t="s">
        <v>1460</v>
      </c>
    </row>
    <row r="8" spans="1:13" x14ac:dyDescent="0.25">
      <c r="A8">
        <v>73.100000000000009</v>
      </c>
      <c r="B8">
        <v>191.1</v>
      </c>
      <c r="D8" t="s">
        <v>1461</v>
      </c>
      <c r="E8" s="276">
        <f>E4-1</f>
        <v>9</v>
      </c>
      <c r="F8" s="276">
        <f>F4-1</f>
        <v>10</v>
      </c>
      <c r="G8" s="8"/>
      <c r="H8" t="e">
        <f ca="1">FTEXT(F8)</f>
        <v>#NAME?</v>
      </c>
      <c r="J8" t="s">
        <v>262</v>
      </c>
      <c r="K8" s="163">
        <v>0.05</v>
      </c>
    </row>
    <row r="9" spans="1:13" x14ac:dyDescent="0.25">
      <c r="A9">
        <v>70.8</v>
      </c>
      <c r="B9">
        <v>166.9</v>
      </c>
      <c r="J9" t="s">
        <v>357</v>
      </c>
      <c r="K9" s="163">
        <f>NORMSINV(1-K8/2)</f>
        <v>1.9599639845400536</v>
      </c>
      <c r="M9" s="22" t="s">
        <v>1462</v>
      </c>
    </row>
    <row r="10" spans="1:13" x14ac:dyDescent="0.25">
      <c r="A10">
        <v>82.4</v>
      </c>
      <c r="B10">
        <v>161.4</v>
      </c>
      <c r="D10" t="s">
        <v>703</v>
      </c>
      <c r="J10" t="s">
        <v>139</v>
      </c>
      <c r="K10" s="163">
        <f>SQRT((E7*(E7+0.5)/E8)+(F7*(F7+0.5)/F8))</f>
        <v>0.10001851204072307</v>
      </c>
      <c r="M10" t="e">
        <f ca="1">FTEXT(K10)</f>
        <v>#NAME?</v>
      </c>
    </row>
    <row r="11" spans="1:13" x14ac:dyDescent="0.25">
      <c r="A11">
        <v>75.599999999999994</v>
      </c>
      <c r="B11">
        <v>174.5</v>
      </c>
      <c r="J11" t="s">
        <v>102</v>
      </c>
      <c r="K11" s="163">
        <f>K4-K9*K10</f>
        <v>-0.16143149520213881</v>
      </c>
      <c r="M11" t="e">
        <f ca="1">FTEXT(K11)</f>
        <v>#NAME?</v>
      </c>
    </row>
    <row r="12" spans="1:13" x14ac:dyDescent="0.25">
      <c r="A12">
        <v>74.099999999999994</v>
      </c>
      <c r="B12">
        <v>185.6</v>
      </c>
      <c r="D12" s="324"/>
      <c r="E12" s="324" t="str">
        <f>A3</f>
        <v>Weight</v>
      </c>
      <c r="F12" s="324" t="str">
        <f>B3</f>
        <v>Height</v>
      </c>
      <c r="J12" t="s">
        <v>103</v>
      </c>
      <c r="K12" s="155">
        <f>K4+K9*K10</f>
        <v>0.23063386757206703</v>
      </c>
      <c r="M12" t="e">
        <f ca="1">FTEXT(K12)</f>
        <v>#NAME?</v>
      </c>
    </row>
    <row r="13" spans="1:13" x14ac:dyDescent="0.25">
      <c r="A13">
        <v>71.7</v>
      </c>
      <c r="B13">
        <v>188.5</v>
      </c>
      <c r="D13" t="s">
        <v>426</v>
      </c>
      <c r="E13" t="e">
        <f ca="1">SHAPIRO(A4:A14)</f>
        <v>#NAME?</v>
      </c>
      <c r="F13" t="e">
        <f ca="1">SHAPIRO(B4:B14)</f>
        <v>#NAME?</v>
      </c>
    </row>
    <row r="14" spans="1:13" x14ac:dyDescent="0.25">
      <c r="A14" s="276"/>
      <c r="B14" s="276">
        <v>185.7</v>
      </c>
      <c r="D14" t="s">
        <v>182</v>
      </c>
      <c r="E14" t="e">
        <f ca="1">SWTEST(A4:A14)</f>
        <v>#NAME?</v>
      </c>
      <c r="F14" t="e">
        <f ca="1">SWTEST(B4:B14)</f>
        <v>#NAME?</v>
      </c>
      <c r="J14" t="e">
        <f t="array" aca="1" ref="J14:K20" ca="1">CV2TEST(A4:A13,B4:B14,TRUE)</f>
        <v>#NAME?</v>
      </c>
      <c r="K14" s="45" t="e">
        <f ca="1"/>
        <v>#NAME?</v>
      </c>
      <c r="M14" t="e">
        <f ca="1">FTEXT(K14)</f>
        <v>#NAME?</v>
      </c>
    </row>
    <row r="15" spans="1:13" x14ac:dyDescent="0.25">
      <c r="D15" t="s">
        <v>262</v>
      </c>
      <c r="E15">
        <v>0.05</v>
      </c>
      <c r="F15">
        <v>0.05</v>
      </c>
      <c r="J15" t="e">
        <f ca="1"/>
        <v>#NAME?</v>
      </c>
      <c r="K15" s="163" t="e">
        <f ca="1"/>
        <v>#NAME?</v>
      </c>
    </row>
    <row r="16" spans="1:13" x14ac:dyDescent="0.25">
      <c r="D16" s="276" t="s">
        <v>704</v>
      </c>
      <c r="E16" s="320" t="e">
        <f ca="1">IF(E14&lt;E15,"no","yes")</f>
        <v>#NAME?</v>
      </c>
      <c r="F16" s="320" t="e">
        <f ca="1">IF(F14&lt;F15,"no","yes")</f>
        <v>#NAME?</v>
      </c>
      <c r="J16" t="e">
        <f ca="1"/>
        <v>#NAME?</v>
      </c>
      <c r="K16" s="163" t="e">
        <f ca="1"/>
        <v>#NAME?</v>
      </c>
    </row>
    <row r="17" spans="10:11" x14ac:dyDescent="0.25">
      <c r="J17" t="e">
        <f ca="1"/>
        <v>#NAME?</v>
      </c>
      <c r="K17" s="163" t="e">
        <f ca="1"/>
        <v>#NAME?</v>
      </c>
    </row>
    <row r="18" spans="10:11" x14ac:dyDescent="0.25">
      <c r="J18" t="e">
        <f ca="1"/>
        <v>#NAME?</v>
      </c>
      <c r="K18" s="163" t="e">
        <f ca="1"/>
        <v>#NAME?</v>
      </c>
    </row>
    <row r="19" spans="10:11" x14ac:dyDescent="0.25">
      <c r="J19" t="e">
        <f ca="1"/>
        <v>#NAME?</v>
      </c>
      <c r="K19" s="163" t="e">
        <f ca="1"/>
        <v>#NAME?</v>
      </c>
    </row>
    <row r="20" spans="10:11" x14ac:dyDescent="0.25">
      <c r="J20" t="e">
        <f ca="1"/>
        <v>#NAME?</v>
      </c>
      <c r="K20" s="155" t="e">
        <f ca="1"/>
        <v>#NAME?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3"/>
  <dimension ref="A1:AG26"/>
  <sheetViews>
    <sheetView workbookViewId="0"/>
  </sheetViews>
  <sheetFormatPr defaultRowHeight="15" x14ac:dyDescent="0.25"/>
  <cols>
    <col min="2" max="3" width="7.85546875" customWidth="1"/>
    <col min="4" max="4" width="6" customWidth="1"/>
    <col min="5" max="5" width="3.7109375" customWidth="1"/>
    <col min="7" max="8" width="8" customWidth="1"/>
    <col min="9" max="9" width="3.7109375" customWidth="1"/>
    <col min="11" max="12" width="7.5703125" customWidth="1"/>
    <col min="13" max="13" width="4.7109375" customWidth="1"/>
    <col min="14" max="14" width="3.7109375" customWidth="1"/>
    <col min="16" max="17" width="7.28515625" customWidth="1"/>
    <col min="18" max="18" width="5.42578125" customWidth="1"/>
    <col min="19" max="19" width="2.28515625" customWidth="1"/>
    <col min="22" max="22" width="8.140625" customWidth="1"/>
    <col min="23" max="23" width="5.140625" customWidth="1"/>
    <col min="24" max="24" width="5.7109375" customWidth="1"/>
    <col min="27" max="27" width="8.140625" customWidth="1"/>
    <col min="28" max="28" width="5.140625" customWidth="1"/>
    <col min="29" max="29" width="3.28515625" customWidth="1"/>
    <col min="32" max="32" width="8.140625" customWidth="1"/>
    <col min="33" max="33" width="5" customWidth="1"/>
  </cols>
  <sheetData>
    <row r="1" spans="1:33" x14ac:dyDescent="0.25">
      <c r="A1" s="1" t="s">
        <v>727</v>
      </c>
      <c r="T1" s="1" t="s">
        <v>707</v>
      </c>
      <c r="Y1" s="22" t="s">
        <v>728</v>
      </c>
      <c r="AD1" s="22" t="s">
        <v>741</v>
      </c>
    </row>
    <row r="3" spans="1:33" x14ac:dyDescent="0.25">
      <c r="A3" s="268" t="s">
        <v>306</v>
      </c>
      <c r="B3" s="5" t="s">
        <v>708</v>
      </c>
      <c r="C3" s="5" t="s">
        <v>711</v>
      </c>
      <c r="D3" s="270">
        <v>45</v>
      </c>
      <c r="F3" s="22" t="s">
        <v>712</v>
      </c>
      <c r="J3" s="22" t="s">
        <v>713</v>
      </c>
      <c r="O3" s="22" t="s">
        <v>714</v>
      </c>
      <c r="T3" s="268" t="s">
        <v>306</v>
      </c>
      <c r="U3" s="5" t="s">
        <v>708</v>
      </c>
      <c r="V3" s="5" t="s">
        <v>711</v>
      </c>
      <c r="W3" s="270">
        <v>45</v>
      </c>
      <c r="Y3" s="268" t="e">
        <f t="array" aca="1" ref="Y3:AB14" ca="1">QSORTRows(T3:W14,4)</f>
        <v>#NAME?</v>
      </c>
      <c r="Z3" s="5" t="e">
        <f ca="1"/>
        <v>#NAME?</v>
      </c>
      <c r="AA3" s="5" t="e">
        <f ca="1"/>
        <v>#NAME?</v>
      </c>
      <c r="AB3" s="270" t="e">
        <f ca="1"/>
        <v>#NAME?</v>
      </c>
      <c r="AD3" s="268" t="e">
        <f t="array" aca="1" ref="AD3:AG14" ca="1">QSORTRows(T3:W14)</f>
        <v>#NAME?</v>
      </c>
      <c r="AE3" s="283" t="e">
        <f ca="1"/>
        <v>#NAME?</v>
      </c>
      <c r="AF3" s="283" t="e">
        <f ca="1"/>
        <v>#NAME?</v>
      </c>
      <c r="AG3" s="270" t="e">
        <f ca="1"/>
        <v>#NAME?</v>
      </c>
    </row>
    <row r="4" spans="1:33" x14ac:dyDescent="0.25">
      <c r="A4" s="166" t="s">
        <v>267</v>
      </c>
      <c r="B4" s="8" t="s">
        <v>709</v>
      </c>
      <c r="C4" s="8" t="s">
        <v>296</v>
      </c>
      <c r="D4" s="167">
        <v>35</v>
      </c>
      <c r="T4" s="166" t="s">
        <v>267</v>
      </c>
      <c r="U4" s="8" t="s">
        <v>709</v>
      </c>
      <c r="V4" s="8" t="s">
        <v>296</v>
      </c>
      <c r="W4" s="167">
        <v>35</v>
      </c>
      <c r="Y4" s="166" t="e">
        <f ca="1"/>
        <v>#NAME?</v>
      </c>
      <c r="Z4" s="8" t="e">
        <f ca="1"/>
        <v>#NAME?</v>
      </c>
      <c r="AA4" s="8" t="e">
        <f ca="1"/>
        <v>#NAME?</v>
      </c>
      <c r="AB4" s="167" t="e">
        <f ca="1"/>
        <v>#NAME?</v>
      </c>
      <c r="AD4" s="166" t="e">
        <f ca="1"/>
        <v>#NAME?</v>
      </c>
      <c r="AE4" s="8" t="e">
        <f ca="1"/>
        <v>#NAME?</v>
      </c>
      <c r="AF4" s="8" t="e">
        <f ca="1"/>
        <v>#NAME?</v>
      </c>
      <c r="AG4" s="167" t="e">
        <f ca="1"/>
        <v>#NAME?</v>
      </c>
    </row>
    <row r="5" spans="1:33" x14ac:dyDescent="0.25">
      <c r="A5" s="166" t="s">
        <v>306</v>
      </c>
      <c r="B5" s="8" t="s">
        <v>710</v>
      </c>
      <c r="C5" s="8" t="s">
        <v>711</v>
      </c>
      <c r="D5" s="167">
        <v>15</v>
      </c>
      <c r="F5" s="268" t="e">
        <f t="array" aca="1" ref="F5:H13" ca="1">SortRowsUnique(A3:C14)</f>
        <v>#NAME?</v>
      </c>
      <c r="G5" s="5" t="e">
        <f ca="1"/>
        <v>#NAME?</v>
      </c>
      <c r="H5" s="270" t="e">
        <f ca="1"/>
        <v>#NAME?</v>
      </c>
      <c r="J5" s="268" t="e">
        <f t="array" aca="1" ref="J5:M12" ca="1">SortRowsCount(A3:C14)</f>
        <v>#NAME?</v>
      </c>
      <c r="K5" s="5" t="e">
        <f ca="1"/>
        <v>#NAME?</v>
      </c>
      <c r="L5" s="5" t="e">
        <f ca="1"/>
        <v>#NAME?</v>
      </c>
      <c r="M5" s="270" t="e">
        <f ca="1"/>
        <v>#NAME?</v>
      </c>
      <c r="O5" s="268" t="e">
        <f t="array" aca="1" ref="O5:R13" ca="1">SortRowsSum(A3:D14,"")</f>
        <v>#NAME?</v>
      </c>
      <c r="P5" s="5" t="e">
        <f ca="1"/>
        <v>#NAME?</v>
      </c>
      <c r="Q5" s="5" t="e">
        <f ca="1"/>
        <v>#NAME?</v>
      </c>
      <c r="R5" s="270" t="e">
        <f ca="1"/>
        <v>#NAME?</v>
      </c>
      <c r="T5" s="166" t="s">
        <v>306</v>
      </c>
      <c r="U5" s="8" t="s">
        <v>710</v>
      </c>
      <c r="V5" s="8" t="s">
        <v>711</v>
      </c>
      <c r="W5" s="167">
        <v>15</v>
      </c>
      <c r="Y5" s="166" t="e">
        <f ca="1"/>
        <v>#NAME?</v>
      </c>
      <c r="Z5" s="8" t="e">
        <f ca="1"/>
        <v>#NAME?</v>
      </c>
      <c r="AA5" s="8" t="e">
        <f ca="1"/>
        <v>#NAME?</v>
      </c>
      <c r="AB5" s="167" t="e">
        <f ca="1"/>
        <v>#NAME?</v>
      </c>
      <c r="AD5" s="166" t="e">
        <f ca="1"/>
        <v>#NAME?</v>
      </c>
      <c r="AE5" s="8" t="e">
        <f ca="1"/>
        <v>#NAME?</v>
      </c>
      <c r="AF5" s="8" t="e">
        <f ca="1"/>
        <v>#NAME?</v>
      </c>
      <c r="AG5" s="167" t="e">
        <f ca="1"/>
        <v>#NAME?</v>
      </c>
    </row>
    <row r="6" spans="1:33" x14ac:dyDescent="0.25">
      <c r="A6" s="166" t="s">
        <v>306</v>
      </c>
      <c r="B6" s="8" t="s">
        <v>710</v>
      </c>
      <c r="C6" s="8" t="s">
        <v>711</v>
      </c>
      <c r="D6" s="167">
        <v>40</v>
      </c>
      <c r="F6" s="166" t="e">
        <f ca="1"/>
        <v>#NAME?</v>
      </c>
      <c r="G6" s="8" t="e">
        <f ca="1"/>
        <v>#NAME?</v>
      </c>
      <c r="H6" s="167" t="e">
        <f ca="1"/>
        <v>#NAME?</v>
      </c>
      <c r="J6" s="166" t="e">
        <f ca="1"/>
        <v>#NAME?</v>
      </c>
      <c r="K6" s="8" t="e">
        <f ca="1"/>
        <v>#NAME?</v>
      </c>
      <c r="L6" s="8" t="e">
        <f ca="1"/>
        <v>#NAME?</v>
      </c>
      <c r="M6" s="167" t="e">
        <f ca="1"/>
        <v>#NAME?</v>
      </c>
      <c r="O6" s="166" t="e">
        <f ca="1"/>
        <v>#NAME?</v>
      </c>
      <c r="P6" s="8" t="e">
        <f ca="1"/>
        <v>#NAME?</v>
      </c>
      <c r="Q6" s="8" t="e">
        <f ca="1"/>
        <v>#NAME?</v>
      </c>
      <c r="R6" s="167" t="e">
        <f ca="1"/>
        <v>#NAME?</v>
      </c>
      <c r="T6" s="166" t="s">
        <v>306</v>
      </c>
      <c r="U6" s="8" t="s">
        <v>710</v>
      </c>
      <c r="V6" s="8" t="s">
        <v>711</v>
      </c>
      <c r="W6" s="167">
        <v>40</v>
      </c>
      <c r="Y6" s="166" t="e">
        <f ca="1"/>
        <v>#NAME?</v>
      </c>
      <c r="Z6" s="8" t="e">
        <f ca="1"/>
        <v>#NAME?</v>
      </c>
      <c r="AA6" s="8" t="e">
        <f ca="1"/>
        <v>#NAME?</v>
      </c>
      <c r="AB6" s="167" t="e">
        <f ca="1"/>
        <v>#NAME?</v>
      </c>
      <c r="AD6" s="166" t="e">
        <f ca="1"/>
        <v>#NAME?</v>
      </c>
      <c r="AE6" s="8" t="e">
        <f ca="1"/>
        <v>#NAME?</v>
      </c>
      <c r="AF6" s="8" t="e">
        <f ca="1"/>
        <v>#NAME?</v>
      </c>
      <c r="AG6" s="167" t="e">
        <f ca="1"/>
        <v>#NAME?</v>
      </c>
    </row>
    <row r="7" spans="1:33" x14ac:dyDescent="0.25">
      <c r="A7" s="166" t="s">
        <v>267</v>
      </c>
      <c r="B7" s="8" t="s">
        <v>709</v>
      </c>
      <c r="C7" s="8" t="s">
        <v>711</v>
      </c>
      <c r="D7" s="167">
        <v>25</v>
      </c>
      <c r="F7" s="166" t="e">
        <f ca="1"/>
        <v>#NAME?</v>
      </c>
      <c r="G7" s="8" t="e">
        <f ca="1"/>
        <v>#NAME?</v>
      </c>
      <c r="H7" s="167" t="e">
        <f ca="1"/>
        <v>#NAME?</v>
      </c>
      <c r="J7" s="166" t="e">
        <f ca="1"/>
        <v>#NAME?</v>
      </c>
      <c r="K7" s="8" t="e">
        <f ca="1"/>
        <v>#NAME?</v>
      </c>
      <c r="L7" s="8" t="e">
        <f ca="1"/>
        <v>#NAME?</v>
      </c>
      <c r="M7" s="167" t="e">
        <f ca="1"/>
        <v>#NAME?</v>
      </c>
      <c r="O7" s="166" t="e">
        <f ca="1"/>
        <v>#NAME?</v>
      </c>
      <c r="P7" s="8" t="e">
        <f ca="1"/>
        <v>#NAME?</v>
      </c>
      <c r="Q7" s="8" t="e">
        <f ca="1"/>
        <v>#NAME?</v>
      </c>
      <c r="R7" s="167" t="e">
        <f ca="1"/>
        <v>#NAME?</v>
      </c>
      <c r="T7" s="166" t="s">
        <v>267</v>
      </c>
      <c r="U7" s="8" t="s">
        <v>709</v>
      </c>
      <c r="V7" s="8" t="s">
        <v>711</v>
      </c>
      <c r="W7" s="167">
        <v>25</v>
      </c>
      <c r="Y7" s="166" t="e">
        <f ca="1"/>
        <v>#NAME?</v>
      </c>
      <c r="Z7" s="8" t="e">
        <f ca="1"/>
        <v>#NAME?</v>
      </c>
      <c r="AA7" s="8" t="e">
        <f ca="1"/>
        <v>#NAME?</v>
      </c>
      <c r="AB7" s="167" t="e">
        <f ca="1"/>
        <v>#NAME?</v>
      </c>
      <c r="AD7" s="166" t="e">
        <f ca="1"/>
        <v>#NAME?</v>
      </c>
      <c r="AE7" s="8" t="e">
        <f ca="1"/>
        <v>#NAME?</v>
      </c>
      <c r="AF7" s="8" t="e">
        <f ca="1"/>
        <v>#NAME?</v>
      </c>
      <c r="AG7" s="167" t="e">
        <f ca="1"/>
        <v>#NAME?</v>
      </c>
    </row>
    <row r="8" spans="1:33" x14ac:dyDescent="0.25">
      <c r="A8" s="166" t="s">
        <v>306</v>
      </c>
      <c r="B8" s="8" t="s">
        <v>710</v>
      </c>
      <c r="C8" s="8" t="s">
        <v>296</v>
      </c>
      <c r="D8" s="167">
        <v>20</v>
      </c>
      <c r="F8" s="166" t="e">
        <f ca="1"/>
        <v>#NAME?</v>
      </c>
      <c r="G8" s="8" t="e">
        <f ca="1"/>
        <v>#NAME?</v>
      </c>
      <c r="H8" s="167" t="e">
        <f ca="1"/>
        <v>#NAME?</v>
      </c>
      <c r="J8" s="166" t="e">
        <f ca="1"/>
        <v>#NAME?</v>
      </c>
      <c r="K8" s="8" t="e">
        <f ca="1"/>
        <v>#NAME?</v>
      </c>
      <c r="L8" s="8" t="e">
        <f ca="1"/>
        <v>#NAME?</v>
      </c>
      <c r="M8" s="167" t="e">
        <f ca="1"/>
        <v>#NAME?</v>
      </c>
      <c r="O8" s="166" t="e">
        <f ca="1"/>
        <v>#NAME?</v>
      </c>
      <c r="P8" s="8" t="e">
        <f ca="1"/>
        <v>#NAME?</v>
      </c>
      <c r="Q8" s="8" t="e">
        <f ca="1"/>
        <v>#NAME?</v>
      </c>
      <c r="R8" s="167" t="e">
        <f ca="1"/>
        <v>#NAME?</v>
      </c>
      <c r="T8" s="166" t="s">
        <v>306</v>
      </c>
      <c r="U8" s="8" t="s">
        <v>710</v>
      </c>
      <c r="V8" s="8" t="s">
        <v>296</v>
      </c>
      <c r="W8" s="167">
        <v>20</v>
      </c>
      <c r="Y8" s="166" t="e">
        <f ca="1"/>
        <v>#NAME?</v>
      </c>
      <c r="Z8" s="8" t="e">
        <f ca="1"/>
        <v>#NAME?</v>
      </c>
      <c r="AA8" s="8" t="e">
        <f ca="1"/>
        <v>#NAME?</v>
      </c>
      <c r="AB8" s="167" t="e">
        <f ca="1"/>
        <v>#NAME?</v>
      </c>
      <c r="AD8" s="166" t="e">
        <f ca="1"/>
        <v>#NAME?</v>
      </c>
      <c r="AE8" s="8" t="e">
        <f ca="1"/>
        <v>#NAME?</v>
      </c>
      <c r="AF8" s="8" t="e">
        <f ca="1"/>
        <v>#NAME?</v>
      </c>
      <c r="AG8" s="167" t="e">
        <f ca="1"/>
        <v>#NAME?</v>
      </c>
    </row>
    <row r="9" spans="1:33" x14ac:dyDescent="0.25">
      <c r="A9" s="166" t="s">
        <v>267</v>
      </c>
      <c r="B9" s="8" t="s">
        <v>708</v>
      </c>
      <c r="C9" s="8" t="s">
        <v>711</v>
      </c>
      <c r="D9" s="167">
        <v>10</v>
      </c>
      <c r="F9" s="166" t="e">
        <f ca="1"/>
        <v>#NAME?</v>
      </c>
      <c r="G9" s="8" t="e">
        <f ca="1"/>
        <v>#NAME?</v>
      </c>
      <c r="H9" s="167" t="e">
        <f ca="1"/>
        <v>#NAME?</v>
      </c>
      <c r="J9" s="166" t="e">
        <f ca="1"/>
        <v>#NAME?</v>
      </c>
      <c r="K9" s="8" t="e">
        <f ca="1"/>
        <v>#NAME?</v>
      </c>
      <c r="L9" s="8" t="e">
        <f ca="1"/>
        <v>#NAME?</v>
      </c>
      <c r="M9" s="167" t="e">
        <f ca="1"/>
        <v>#NAME?</v>
      </c>
      <c r="O9" s="166" t="e">
        <f ca="1"/>
        <v>#NAME?</v>
      </c>
      <c r="P9" s="8" t="e">
        <f ca="1"/>
        <v>#NAME?</v>
      </c>
      <c r="Q9" s="8" t="e">
        <f ca="1"/>
        <v>#NAME?</v>
      </c>
      <c r="R9" s="167" t="e">
        <f ca="1"/>
        <v>#NAME?</v>
      </c>
      <c r="T9" s="166" t="s">
        <v>267</v>
      </c>
      <c r="U9" s="8" t="s">
        <v>708</v>
      </c>
      <c r="V9" s="8" t="s">
        <v>711</v>
      </c>
      <c r="W9" s="167">
        <v>10</v>
      </c>
      <c r="Y9" s="166" t="e">
        <f ca="1"/>
        <v>#NAME?</v>
      </c>
      <c r="Z9" s="8" t="e">
        <f ca="1"/>
        <v>#NAME?</v>
      </c>
      <c r="AA9" s="8" t="e">
        <f ca="1"/>
        <v>#NAME?</v>
      </c>
      <c r="AB9" s="167" t="e">
        <f ca="1"/>
        <v>#NAME?</v>
      </c>
      <c r="AD9" s="166" t="e">
        <f ca="1"/>
        <v>#NAME?</v>
      </c>
      <c r="AE9" s="8" t="e">
        <f ca="1"/>
        <v>#NAME?</v>
      </c>
      <c r="AF9" s="8" t="e">
        <f ca="1"/>
        <v>#NAME?</v>
      </c>
      <c r="AG9" s="167" t="e">
        <f ca="1"/>
        <v>#NAME?</v>
      </c>
    </row>
    <row r="10" spans="1:33" x14ac:dyDescent="0.25">
      <c r="A10" s="166" t="s">
        <v>267</v>
      </c>
      <c r="B10" s="8" t="s">
        <v>709</v>
      </c>
      <c r="C10" s="8" t="s">
        <v>711</v>
      </c>
      <c r="D10" s="167">
        <v>50</v>
      </c>
      <c r="F10" s="166" t="e">
        <f ca="1"/>
        <v>#NAME?</v>
      </c>
      <c r="G10" s="8" t="e">
        <f ca="1"/>
        <v>#NAME?</v>
      </c>
      <c r="H10" s="167" t="e">
        <f ca="1"/>
        <v>#NAME?</v>
      </c>
      <c r="J10" s="166" t="e">
        <f ca="1"/>
        <v>#NAME?</v>
      </c>
      <c r="K10" s="8" t="e">
        <f ca="1"/>
        <v>#NAME?</v>
      </c>
      <c r="L10" s="8" t="e">
        <f ca="1"/>
        <v>#NAME?</v>
      </c>
      <c r="M10" s="167" t="e">
        <f ca="1"/>
        <v>#NAME?</v>
      </c>
      <c r="O10" s="166" t="e">
        <f ca="1"/>
        <v>#NAME?</v>
      </c>
      <c r="P10" s="8" t="e">
        <f ca="1"/>
        <v>#NAME?</v>
      </c>
      <c r="Q10" s="8" t="e">
        <f ca="1"/>
        <v>#NAME?</v>
      </c>
      <c r="R10" s="167" t="e">
        <f ca="1"/>
        <v>#NAME?</v>
      </c>
      <c r="T10" s="166" t="s">
        <v>267</v>
      </c>
      <c r="U10" s="8" t="s">
        <v>709</v>
      </c>
      <c r="V10" s="8" t="s">
        <v>711</v>
      </c>
      <c r="W10" s="167">
        <v>50</v>
      </c>
      <c r="Y10" s="166" t="e">
        <f ca="1"/>
        <v>#NAME?</v>
      </c>
      <c r="Z10" s="8" t="e">
        <f ca="1"/>
        <v>#NAME?</v>
      </c>
      <c r="AA10" s="8" t="e">
        <f ca="1"/>
        <v>#NAME?</v>
      </c>
      <c r="AB10" s="167" t="e">
        <f ca="1"/>
        <v>#NAME?</v>
      </c>
      <c r="AD10" s="166" t="e">
        <f ca="1"/>
        <v>#NAME?</v>
      </c>
      <c r="AE10" s="8" t="e">
        <f ca="1"/>
        <v>#NAME?</v>
      </c>
      <c r="AF10" s="8" t="e">
        <f ca="1"/>
        <v>#NAME?</v>
      </c>
      <c r="AG10" s="167" t="e">
        <f ca="1"/>
        <v>#NAME?</v>
      </c>
    </row>
    <row r="11" spans="1:33" x14ac:dyDescent="0.25">
      <c r="A11" s="166" t="s">
        <v>267</v>
      </c>
      <c r="B11" s="8" t="s">
        <v>709</v>
      </c>
      <c r="C11" s="8" t="s">
        <v>296</v>
      </c>
      <c r="D11" s="167">
        <v>35</v>
      </c>
      <c r="F11" s="166" t="e">
        <f ca="1"/>
        <v>#NAME?</v>
      </c>
      <c r="G11" s="8" t="e">
        <f ca="1"/>
        <v>#NAME?</v>
      </c>
      <c r="H11" s="167" t="e">
        <f ca="1"/>
        <v>#NAME?</v>
      </c>
      <c r="J11" s="166" t="e">
        <f ca="1"/>
        <v>#NAME?</v>
      </c>
      <c r="K11" s="8" t="e">
        <f ca="1"/>
        <v>#NAME?</v>
      </c>
      <c r="L11" s="8" t="e">
        <f ca="1"/>
        <v>#NAME?</v>
      </c>
      <c r="M11" s="167" t="e">
        <f ca="1"/>
        <v>#NAME?</v>
      </c>
      <c r="O11" s="166" t="e">
        <f ca="1"/>
        <v>#NAME?</v>
      </c>
      <c r="P11" s="8" t="e">
        <f ca="1"/>
        <v>#NAME?</v>
      </c>
      <c r="Q11" s="8" t="e">
        <f ca="1"/>
        <v>#NAME?</v>
      </c>
      <c r="R11" s="167" t="e">
        <f ca="1"/>
        <v>#NAME?</v>
      </c>
      <c r="T11" s="166" t="s">
        <v>267</v>
      </c>
      <c r="U11" s="8" t="s">
        <v>709</v>
      </c>
      <c r="V11" s="8" t="s">
        <v>296</v>
      </c>
      <c r="W11" s="167">
        <v>35</v>
      </c>
      <c r="Y11" s="166" t="e">
        <f ca="1"/>
        <v>#NAME?</v>
      </c>
      <c r="Z11" s="8" t="e">
        <f ca="1"/>
        <v>#NAME?</v>
      </c>
      <c r="AA11" s="8" t="e">
        <f ca="1"/>
        <v>#NAME?</v>
      </c>
      <c r="AB11" s="167" t="e">
        <f ca="1"/>
        <v>#NAME?</v>
      </c>
      <c r="AD11" s="166" t="e">
        <f ca="1"/>
        <v>#NAME?</v>
      </c>
      <c r="AE11" s="8" t="e">
        <f ca="1"/>
        <v>#NAME?</v>
      </c>
      <c r="AF11" s="8" t="e">
        <f ca="1"/>
        <v>#NAME?</v>
      </c>
      <c r="AG11" s="167" t="e">
        <f ca="1"/>
        <v>#NAME?</v>
      </c>
    </row>
    <row r="12" spans="1:33" x14ac:dyDescent="0.25">
      <c r="A12" s="166" t="s">
        <v>306</v>
      </c>
      <c r="B12" s="8" t="s">
        <v>708</v>
      </c>
      <c r="C12" s="8" t="s">
        <v>296</v>
      </c>
      <c r="D12" s="167">
        <v>45</v>
      </c>
      <c r="F12" s="166" t="e">
        <f ca="1"/>
        <v>#NAME?</v>
      </c>
      <c r="G12" s="8" t="e">
        <f ca="1"/>
        <v>#NAME?</v>
      </c>
      <c r="H12" s="167" t="e">
        <f ca="1"/>
        <v>#NAME?</v>
      </c>
      <c r="J12" s="148" t="e">
        <f ca="1"/>
        <v>#NAME?</v>
      </c>
      <c r="K12" s="276" t="e">
        <f ca="1"/>
        <v>#NAME?</v>
      </c>
      <c r="L12" s="276" t="e">
        <f ca="1"/>
        <v>#NAME?</v>
      </c>
      <c r="M12" s="153" t="e">
        <f ca="1"/>
        <v>#NAME?</v>
      </c>
      <c r="O12" s="166" t="e">
        <f ca="1"/>
        <v>#NAME?</v>
      </c>
      <c r="P12" s="8" t="e">
        <f ca="1"/>
        <v>#NAME?</v>
      </c>
      <c r="Q12" s="8" t="e">
        <f ca="1"/>
        <v>#NAME?</v>
      </c>
      <c r="R12" s="167" t="e">
        <f ca="1"/>
        <v>#NAME?</v>
      </c>
      <c r="T12" s="166" t="s">
        <v>306</v>
      </c>
      <c r="U12" s="8" t="s">
        <v>708</v>
      </c>
      <c r="V12" s="8" t="s">
        <v>296</v>
      </c>
      <c r="W12" s="167">
        <v>45</v>
      </c>
      <c r="Y12" s="166" t="e">
        <f ca="1"/>
        <v>#NAME?</v>
      </c>
      <c r="Z12" s="8" t="e">
        <f ca="1"/>
        <v>#NAME?</v>
      </c>
      <c r="AA12" s="8" t="e">
        <f ca="1"/>
        <v>#NAME?</v>
      </c>
      <c r="AB12" s="167" t="e">
        <f ca="1"/>
        <v>#NAME?</v>
      </c>
      <c r="AD12" s="166" t="e">
        <f ca="1"/>
        <v>#NAME?</v>
      </c>
      <c r="AE12" s="8" t="e">
        <f ca="1"/>
        <v>#NAME?</v>
      </c>
      <c r="AF12" s="8" t="e">
        <f ca="1"/>
        <v>#NAME?</v>
      </c>
      <c r="AG12" s="167" t="e">
        <f ca="1"/>
        <v>#NAME?</v>
      </c>
    </row>
    <row r="13" spans="1:33" x14ac:dyDescent="0.25">
      <c r="A13" s="166" t="s">
        <v>267</v>
      </c>
      <c r="B13" s="8" t="s">
        <v>710</v>
      </c>
      <c r="C13" s="8" t="s">
        <v>296</v>
      </c>
      <c r="D13" s="167">
        <v>20</v>
      </c>
      <c r="F13" s="148" t="e">
        <f ca="1"/>
        <v>#NAME?</v>
      </c>
      <c r="G13" s="276" t="e">
        <f ca="1"/>
        <v>#NAME?</v>
      </c>
      <c r="H13" s="153" t="e">
        <f ca="1"/>
        <v>#NAME?</v>
      </c>
      <c r="J13" s="8"/>
      <c r="K13" s="8"/>
      <c r="L13" s="8"/>
      <c r="O13" s="148" t="e">
        <f ca="1"/>
        <v>#NAME?</v>
      </c>
      <c r="P13" s="276" t="e">
        <f ca="1"/>
        <v>#NAME?</v>
      </c>
      <c r="Q13" s="276" t="e">
        <f ca="1"/>
        <v>#NAME?</v>
      </c>
      <c r="R13" s="153" t="e">
        <f ca="1"/>
        <v>#NAME?</v>
      </c>
      <c r="T13" s="166" t="s">
        <v>267</v>
      </c>
      <c r="U13" s="8" t="s">
        <v>710</v>
      </c>
      <c r="V13" s="8" t="s">
        <v>296</v>
      </c>
      <c r="W13" s="167">
        <v>20</v>
      </c>
      <c r="Y13" s="166" t="e">
        <f ca="1"/>
        <v>#NAME?</v>
      </c>
      <c r="Z13" s="8" t="e">
        <f ca="1"/>
        <v>#NAME?</v>
      </c>
      <c r="AA13" s="8" t="e">
        <f ca="1"/>
        <v>#NAME?</v>
      </c>
      <c r="AB13" s="167" t="e">
        <f ca="1"/>
        <v>#NAME?</v>
      </c>
      <c r="AD13" s="166" t="e">
        <f ca="1"/>
        <v>#NAME?</v>
      </c>
      <c r="AE13" s="8" t="e">
        <f ca="1"/>
        <v>#NAME?</v>
      </c>
      <c r="AF13" s="8" t="e">
        <f ca="1"/>
        <v>#NAME?</v>
      </c>
      <c r="AG13" s="167" t="e">
        <f ca="1"/>
        <v>#NAME?</v>
      </c>
    </row>
    <row r="14" spans="1:33" x14ac:dyDescent="0.25">
      <c r="A14" s="148" t="s">
        <v>267</v>
      </c>
      <c r="B14" s="276" t="s">
        <v>709</v>
      </c>
      <c r="C14" s="276" t="s">
        <v>711</v>
      </c>
      <c r="D14" s="153">
        <v>40</v>
      </c>
      <c r="T14" s="148" t="s">
        <v>267</v>
      </c>
      <c r="U14" s="276" t="s">
        <v>709</v>
      </c>
      <c r="V14" s="276" t="s">
        <v>711</v>
      </c>
      <c r="W14" s="153">
        <v>40</v>
      </c>
      <c r="Y14" s="148" t="e">
        <f ca="1"/>
        <v>#NAME?</v>
      </c>
      <c r="Z14" s="276" t="e">
        <f ca="1"/>
        <v>#NAME?</v>
      </c>
      <c r="AA14" s="276" t="e">
        <f ca="1"/>
        <v>#NAME?</v>
      </c>
      <c r="AB14" s="153" t="e">
        <f ca="1"/>
        <v>#NAME?</v>
      </c>
      <c r="AD14" s="148" t="e">
        <f ca="1"/>
        <v>#NAME?</v>
      </c>
      <c r="AE14" s="276" t="e">
        <f ca="1"/>
        <v>#NAME?</v>
      </c>
      <c r="AF14" s="276" t="e">
        <f ca="1"/>
        <v>#NAME?</v>
      </c>
      <c r="AG14" s="153" t="e">
        <f ca="1"/>
        <v>#NAME?</v>
      </c>
    </row>
    <row r="15" spans="1:33" x14ac:dyDescent="0.25">
      <c r="F15" s="22" t="s">
        <v>731</v>
      </c>
    </row>
    <row r="17" spans="6:7" x14ac:dyDescent="0.25">
      <c r="F17" s="268" t="e">
        <f t="array" aca="1" ref="F17:G22" ca="1">SortRowsUnique(A3:B14)</f>
        <v>#NAME?</v>
      </c>
      <c r="G17" s="270" t="e">
        <f ca="1"/>
        <v>#NAME?</v>
      </c>
    </row>
    <row r="18" spans="6:7" x14ac:dyDescent="0.25">
      <c r="F18" s="166" t="e">
        <f ca="1"/>
        <v>#NAME?</v>
      </c>
      <c r="G18" s="167" t="e">
        <f ca="1"/>
        <v>#NAME?</v>
      </c>
    </row>
    <row r="19" spans="6:7" x14ac:dyDescent="0.25">
      <c r="F19" s="166" t="e">
        <f ca="1"/>
        <v>#NAME?</v>
      </c>
      <c r="G19" s="167" t="e">
        <f ca="1"/>
        <v>#NAME?</v>
      </c>
    </row>
    <row r="20" spans="6:7" x14ac:dyDescent="0.25">
      <c r="F20" s="166" t="e">
        <f ca="1"/>
        <v>#NAME?</v>
      </c>
      <c r="G20" s="167" t="e">
        <f ca="1"/>
        <v>#NAME?</v>
      </c>
    </row>
    <row r="21" spans="6:7" x14ac:dyDescent="0.25">
      <c r="F21" s="166" t="e">
        <f ca="1"/>
        <v>#NAME?</v>
      </c>
      <c r="G21" s="167" t="e">
        <f ca="1"/>
        <v>#NAME?</v>
      </c>
    </row>
    <row r="22" spans="6:7" x14ac:dyDescent="0.25">
      <c r="F22" s="148" t="e">
        <f ca="1"/>
        <v>#NAME?</v>
      </c>
      <c r="G22" s="153" t="e">
        <f ca="1"/>
        <v>#NAME?</v>
      </c>
    </row>
    <row r="24" spans="6:7" x14ac:dyDescent="0.25">
      <c r="F24" s="22" t="s">
        <v>732</v>
      </c>
    </row>
    <row r="26" spans="6:7" x14ac:dyDescent="0.25">
      <c r="F26" s="205" t="e">
        <f ca="1">CountRowsUnique(A3:B14)</f>
        <v>#NAME?</v>
      </c>
    </row>
  </sheetData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3"/>
  <dimension ref="A1:Q14"/>
  <sheetViews>
    <sheetView zoomScaleNormal="100" workbookViewId="0"/>
  </sheetViews>
  <sheetFormatPr defaultRowHeight="15" x14ac:dyDescent="0.25"/>
  <cols>
    <col min="2" max="2" width="4.85546875" customWidth="1"/>
    <col min="3" max="4" width="9.140625" customWidth="1"/>
    <col min="8" max="8" width="3.28515625" customWidth="1"/>
    <col min="9" max="9" width="32.7109375" customWidth="1"/>
    <col min="12" max="12" width="5" customWidth="1"/>
  </cols>
  <sheetData>
    <row r="1" spans="1:17" x14ac:dyDescent="0.25">
      <c r="A1" s="1" t="s">
        <v>1173</v>
      </c>
    </row>
    <row r="3" spans="1:17" x14ac:dyDescent="0.25">
      <c r="C3" t="s">
        <v>703</v>
      </c>
      <c r="F3" t="s">
        <v>818</v>
      </c>
      <c r="G3" s="315">
        <f>MIN(A4:A14)</f>
        <v>3</v>
      </c>
      <c r="I3" t="e">
        <f ca="1">FTEXT(G3)</f>
        <v>#NAME?</v>
      </c>
      <c r="M3" t="s">
        <v>703</v>
      </c>
      <c r="P3" t="s">
        <v>1476</v>
      </c>
    </row>
    <row r="4" spans="1:17" x14ac:dyDescent="0.25">
      <c r="A4" s="465">
        <v>145</v>
      </c>
      <c r="F4" t="s">
        <v>63</v>
      </c>
      <c r="G4" s="163">
        <f>AVERAGE(A4:A14)</f>
        <v>148.90909090909091</v>
      </c>
      <c r="I4" t="e">
        <f ca="1">FTEXT(G4)</f>
        <v>#NAME?</v>
      </c>
      <c r="K4" s="410">
        <v>145</v>
      </c>
    </row>
    <row r="5" spans="1:17" x14ac:dyDescent="0.25">
      <c r="A5" s="466">
        <v>125</v>
      </c>
      <c r="C5" s="324"/>
      <c r="D5" s="324" t="s">
        <v>190</v>
      </c>
      <c r="F5" t="s">
        <v>66</v>
      </c>
      <c r="G5" s="163">
        <f>STDEV(A4:A14)</f>
        <v>57.810820000160085</v>
      </c>
      <c r="I5" s="22" t="s">
        <v>1316</v>
      </c>
      <c r="K5" s="195">
        <v>125</v>
      </c>
      <c r="M5" s="324"/>
      <c r="N5" s="324" t="s">
        <v>190</v>
      </c>
      <c r="P5" t="e">
        <f t="array" aca="1" ref="P5:Q8" ca="1">GRUBBS(A4:A14,TRUE)</f>
        <v>#NAME?</v>
      </c>
      <c r="Q5" s="315" t="e">
        <f ca="1"/>
        <v>#NAME?</v>
      </c>
    </row>
    <row r="6" spans="1:17" x14ac:dyDescent="0.25">
      <c r="A6" s="466">
        <v>190</v>
      </c>
      <c r="C6" t="s">
        <v>426</v>
      </c>
      <c r="D6" t="e">
        <f ca="1">SHAPIRO(A4:A14)</f>
        <v>#NAME?</v>
      </c>
      <c r="F6" t="s">
        <v>420</v>
      </c>
      <c r="G6" s="155">
        <f>(G4-G3)/G5</f>
        <v>2.5239062671777854</v>
      </c>
      <c r="I6" t="e">
        <f ca="1">FTEXT(G6)</f>
        <v>#NAME?</v>
      </c>
      <c r="K6" s="195">
        <v>190</v>
      </c>
      <c r="M6" t="s">
        <v>426</v>
      </c>
      <c r="N6" t="e">
        <f ca="1">SHAPIRO(K4:K14)</f>
        <v>#NAME?</v>
      </c>
      <c r="P6" t="e">
        <f ca="1"/>
        <v>#NAME?</v>
      </c>
      <c r="Q6" s="163" t="e">
        <f ca="1"/>
        <v>#NAME?</v>
      </c>
    </row>
    <row r="7" spans="1:17" x14ac:dyDescent="0.25">
      <c r="A7" s="466">
        <v>135</v>
      </c>
      <c r="C7" t="s">
        <v>182</v>
      </c>
      <c r="D7" t="e">
        <f ca="1">SWTEST(A4:A14)</f>
        <v>#NAME?</v>
      </c>
      <c r="K7" s="195">
        <v>135</v>
      </c>
      <c r="M7" t="s">
        <v>182</v>
      </c>
      <c r="N7" t="e">
        <f ca="1">SWTEST(K4:K14)</f>
        <v>#NAME?</v>
      </c>
      <c r="P7" t="e">
        <f ca="1"/>
        <v>#NAME?</v>
      </c>
      <c r="Q7" s="163" t="e">
        <f ca="1"/>
        <v>#NAME?</v>
      </c>
    </row>
    <row r="8" spans="1:17" x14ac:dyDescent="0.25">
      <c r="A8" s="466">
        <v>220</v>
      </c>
      <c r="C8" t="s">
        <v>262</v>
      </c>
      <c r="D8">
        <v>0.05</v>
      </c>
      <c r="F8" t="s">
        <v>262</v>
      </c>
      <c r="G8" s="315">
        <v>0.05</v>
      </c>
      <c r="K8" s="195">
        <v>220</v>
      </c>
      <c r="M8" t="s">
        <v>262</v>
      </c>
      <c r="N8">
        <v>0.05</v>
      </c>
      <c r="P8" t="e">
        <f ca="1"/>
        <v>#NAME?</v>
      </c>
      <c r="Q8" s="152" t="e">
        <f ca="1"/>
        <v>#NAME?</v>
      </c>
    </row>
    <row r="9" spans="1:17" x14ac:dyDescent="0.25">
      <c r="A9" s="466">
        <v>130</v>
      </c>
      <c r="C9" s="276" t="s">
        <v>704</v>
      </c>
      <c r="D9" s="320" t="e">
        <f ca="1">IF(D7&lt;D8,"no","yes")</f>
        <v>#NAME?</v>
      </c>
      <c r="F9" t="s">
        <v>64</v>
      </c>
      <c r="G9" s="163">
        <f>COUNT(A4:A14)</f>
        <v>11</v>
      </c>
      <c r="I9" t="e">
        <f ca="1">FTEXT(G9)</f>
        <v>#NAME?</v>
      </c>
      <c r="K9" s="195">
        <v>130</v>
      </c>
      <c r="M9" s="276" t="s">
        <v>704</v>
      </c>
      <c r="N9" s="320" t="e">
        <f ca="1">IF(N7&lt;N8,"no","yes")</f>
        <v>#NAME?</v>
      </c>
    </row>
    <row r="10" spans="1:17" x14ac:dyDescent="0.25">
      <c r="A10" s="466">
        <v>210</v>
      </c>
      <c r="F10" t="s">
        <v>1174</v>
      </c>
      <c r="G10" s="163">
        <f>G8/G9</f>
        <v>4.5454545454545461E-3</v>
      </c>
      <c r="I10" t="e">
        <f ca="1">FTEXT(G10)</f>
        <v>#NAME?</v>
      </c>
      <c r="K10" s="195">
        <v>210</v>
      </c>
    </row>
    <row r="11" spans="1:17" x14ac:dyDescent="0.25">
      <c r="A11" s="466">
        <v>3</v>
      </c>
      <c r="F11" t="s">
        <v>168</v>
      </c>
      <c r="G11" s="163">
        <f>G9-2</f>
        <v>9</v>
      </c>
      <c r="I11" t="e">
        <f ca="1">FTEXT(G11)</f>
        <v>#NAME?</v>
      </c>
      <c r="K11" s="195"/>
    </row>
    <row r="12" spans="1:17" x14ac:dyDescent="0.25">
      <c r="A12" s="466">
        <v>165</v>
      </c>
      <c r="F12" t="s">
        <v>183</v>
      </c>
      <c r="G12" s="163">
        <f>TINV(2*G10,G11)</f>
        <v>3.3095169292973754</v>
      </c>
      <c r="I12" s="22" t="s">
        <v>1317</v>
      </c>
      <c r="K12" s="195">
        <v>165</v>
      </c>
    </row>
    <row r="13" spans="1:17" x14ac:dyDescent="0.25">
      <c r="A13" s="466">
        <v>165</v>
      </c>
      <c r="F13" t="s">
        <v>1175</v>
      </c>
      <c r="G13" s="163">
        <f>(G9-1)*G12/SQRT(G9*(G11+G12^2))</f>
        <v>2.2339077064682864</v>
      </c>
      <c r="I13" t="e">
        <f ca="1">FTEXT(G13)</f>
        <v>#NAME?</v>
      </c>
      <c r="K13" s="195">
        <v>165</v>
      </c>
    </row>
    <row r="14" spans="1:17" x14ac:dyDescent="0.25">
      <c r="A14" s="467">
        <v>150</v>
      </c>
      <c r="F14" t="s">
        <v>381</v>
      </c>
      <c r="G14" s="152" t="str">
        <f>IF(G6&gt;G13,"yes","no")</f>
        <v>yes</v>
      </c>
      <c r="I14" t="e">
        <f ca="1">FTEXT(G14)</f>
        <v>#NAME?</v>
      </c>
      <c r="K14" s="194">
        <v>150</v>
      </c>
    </row>
  </sheetData>
  <pageMargins left="0.7" right="0.7" top="0.75" bottom="0.75" header="0.3" footer="0.3"/>
  <pageSetup orientation="portrait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4"/>
  <dimension ref="A1:BG31"/>
  <sheetViews>
    <sheetView zoomScale="110" zoomScaleNormal="110" workbookViewId="0"/>
  </sheetViews>
  <sheetFormatPr defaultRowHeight="15" x14ac:dyDescent="0.25"/>
  <cols>
    <col min="3" max="3" width="5" customWidth="1"/>
    <col min="4" max="4" width="10.42578125" customWidth="1"/>
    <col min="6" max="6" width="3.140625" customWidth="1"/>
    <col min="7" max="7" width="34.85546875" customWidth="1"/>
    <col min="11" max="11" width="3.5703125" customWidth="1"/>
    <col min="12" max="12" width="10.140625" customWidth="1"/>
    <col min="13" max="13" width="7.140625" customWidth="1"/>
    <col min="16" max="16" width="6.42578125" customWidth="1"/>
    <col min="17" max="17" width="3.5703125" customWidth="1"/>
    <col min="18" max="18" width="10.7109375" customWidth="1"/>
    <col min="23" max="23" width="3.5703125" customWidth="1"/>
    <col min="24" max="24" width="10.85546875" customWidth="1"/>
    <col min="29" max="29" width="3.5703125" customWidth="1"/>
    <col min="30" max="30" width="11.140625" customWidth="1"/>
    <col min="35" max="35" width="3.5703125" customWidth="1"/>
    <col min="36" max="36" width="11" customWidth="1"/>
    <col min="47" max="47" width="3.85546875" customWidth="1"/>
    <col min="48" max="48" width="9.140625" customWidth="1"/>
  </cols>
  <sheetData>
    <row r="1" spans="1:59" x14ac:dyDescent="0.25">
      <c r="A1" s="1" t="s">
        <v>1176</v>
      </c>
    </row>
    <row r="3" spans="1:59" x14ac:dyDescent="0.25">
      <c r="D3" t="s">
        <v>1177</v>
      </c>
      <c r="L3" t="s">
        <v>1180</v>
      </c>
      <c r="R3" t="s">
        <v>1181</v>
      </c>
      <c r="X3" t="s">
        <v>1182</v>
      </c>
      <c r="AD3" t="s">
        <v>1183</v>
      </c>
      <c r="AJ3" t="s">
        <v>1184</v>
      </c>
      <c r="AQ3" t="s">
        <v>703</v>
      </c>
      <c r="AW3" t="s">
        <v>703</v>
      </c>
      <c r="AZ3" t="s">
        <v>1320</v>
      </c>
    </row>
    <row r="4" spans="1:59" x14ac:dyDescent="0.25">
      <c r="AN4" s="415">
        <v>145</v>
      </c>
      <c r="AO4" s="317">
        <v>350</v>
      </c>
      <c r="AT4" s="415">
        <v>145</v>
      </c>
      <c r="AU4" s="317"/>
    </row>
    <row r="5" spans="1:59" x14ac:dyDescent="0.25">
      <c r="A5" s="468">
        <f t="shared" ref="A5:A15" si="0">AN4</f>
        <v>145</v>
      </c>
      <c r="B5" s="411">
        <f t="shared" ref="B5:B15" si="1">AO4</f>
        <v>350</v>
      </c>
      <c r="D5" t="s">
        <v>818</v>
      </c>
      <c r="E5" s="315">
        <f>MIN(A5:B15)</f>
        <v>3</v>
      </c>
      <c r="F5" s="8"/>
      <c r="G5" s="8" t="e">
        <f ca="1">FTEXT(E5)</f>
        <v>#NAME?</v>
      </c>
      <c r="I5" s="415">
        <f>A5</f>
        <v>145</v>
      </c>
      <c r="J5" s="411">
        <f>B5</f>
        <v>350</v>
      </c>
      <c r="L5" t="s">
        <v>818</v>
      </c>
      <c r="M5" s="315">
        <f>MIN(I5:J15)</f>
        <v>3</v>
      </c>
      <c r="O5" s="415">
        <f>I5</f>
        <v>145</v>
      </c>
      <c r="P5" s="411">
        <f>J5</f>
        <v>350</v>
      </c>
      <c r="R5" t="s">
        <v>818</v>
      </c>
      <c r="S5" s="315">
        <f>MIN(O5:P15)</f>
        <v>3</v>
      </c>
      <c r="U5" s="415">
        <f>O5</f>
        <v>145</v>
      </c>
      <c r="V5" s="411"/>
      <c r="X5" t="s">
        <v>818</v>
      </c>
      <c r="Y5" s="315">
        <f>MIN(U5:V15)</f>
        <v>3</v>
      </c>
      <c r="AA5" s="415">
        <f>U5</f>
        <v>145</v>
      </c>
      <c r="AB5" s="411"/>
      <c r="AD5" t="s">
        <v>818</v>
      </c>
      <c r="AE5" s="315">
        <f>MIN(AA5:AB15)</f>
        <v>40</v>
      </c>
      <c r="AG5" s="415">
        <f>AA5</f>
        <v>145</v>
      </c>
      <c r="AH5" s="411"/>
      <c r="AJ5" t="s">
        <v>818</v>
      </c>
      <c r="AK5" s="315">
        <f>MIN(AG5:AH15)</f>
        <v>125</v>
      </c>
      <c r="AN5" s="169">
        <v>125</v>
      </c>
      <c r="AO5" s="167">
        <v>170</v>
      </c>
      <c r="AQ5" s="324"/>
      <c r="AR5" s="324" t="s">
        <v>190</v>
      </c>
      <c r="AT5" s="169">
        <v>125</v>
      </c>
      <c r="AU5" s="167">
        <v>170</v>
      </c>
      <c r="AW5" s="324"/>
      <c r="AX5" s="324" t="s">
        <v>190</v>
      </c>
      <c r="AZ5" t="s">
        <v>262</v>
      </c>
      <c r="BA5">
        <v>0.05</v>
      </c>
    </row>
    <row r="6" spans="1:59" x14ac:dyDescent="0.25">
      <c r="A6" s="469">
        <f t="shared" si="0"/>
        <v>125</v>
      </c>
      <c r="B6" s="161">
        <f t="shared" si="1"/>
        <v>170</v>
      </c>
      <c r="D6" t="s">
        <v>819</v>
      </c>
      <c r="E6" s="163">
        <f>MAX(A5:B15)</f>
        <v>440</v>
      </c>
      <c r="F6" s="8"/>
      <c r="G6" s="8" t="e">
        <f ca="1">FTEXT(E6)</f>
        <v>#NAME?</v>
      </c>
      <c r="I6" s="169">
        <f t="shared" ref="I6:I15" si="2">A6</f>
        <v>125</v>
      </c>
      <c r="J6" s="161">
        <f>B6</f>
        <v>170</v>
      </c>
      <c r="L6" t="s">
        <v>819</v>
      </c>
      <c r="M6" s="163">
        <f>MAX(I5:J15)</f>
        <v>410</v>
      </c>
      <c r="O6" s="169">
        <f t="shared" ref="O6:O15" si="3">I6</f>
        <v>125</v>
      </c>
      <c r="P6" s="161">
        <f t="shared" ref="P6:P15" si="4">J6</f>
        <v>170</v>
      </c>
      <c r="R6" t="s">
        <v>819</v>
      </c>
      <c r="S6" s="163">
        <f>MAX(O5:P15)</f>
        <v>350</v>
      </c>
      <c r="U6" s="169">
        <f t="shared" ref="U6:U15" si="5">O6</f>
        <v>125</v>
      </c>
      <c r="V6" s="161">
        <f t="shared" ref="V6:V15" si="6">P6</f>
        <v>170</v>
      </c>
      <c r="X6" t="s">
        <v>819</v>
      </c>
      <c r="Y6" s="163">
        <f>MAX(U5:V15)</f>
        <v>220</v>
      </c>
      <c r="AA6" s="169">
        <f t="shared" ref="AA6:AA15" si="7">U6</f>
        <v>125</v>
      </c>
      <c r="AB6" s="161">
        <f t="shared" ref="AB6:AB15" si="8">V6</f>
        <v>170</v>
      </c>
      <c r="AD6" t="s">
        <v>819</v>
      </c>
      <c r="AE6" s="163">
        <f>MAX(AA5:AB15)</f>
        <v>220</v>
      </c>
      <c r="AG6" s="169">
        <f t="shared" ref="AG6:AG11" si="9">AA6</f>
        <v>125</v>
      </c>
      <c r="AH6" s="161">
        <f>AB6</f>
        <v>170</v>
      </c>
      <c r="AJ6" t="s">
        <v>819</v>
      </c>
      <c r="AK6" s="163">
        <f>MAX(AG5:AH15)</f>
        <v>220</v>
      </c>
      <c r="AN6" s="169">
        <v>190</v>
      </c>
      <c r="AO6" s="167">
        <v>180</v>
      </c>
      <c r="AQ6" t="s">
        <v>426</v>
      </c>
      <c r="AR6" t="e">
        <f ca="1">SHAPIRO(AN4:AO14)</f>
        <v>#NAME?</v>
      </c>
      <c r="AT6" s="169">
        <v>190</v>
      </c>
      <c r="AU6" s="167">
        <v>180</v>
      </c>
      <c r="AW6" t="s">
        <v>426</v>
      </c>
      <c r="AX6" t="e">
        <f ca="1">SHAPIRO(AT4:AU14)</f>
        <v>#NAME?</v>
      </c>
    </row>
    <row r="7" spans="1:59" x14ac:dyDescent="0.25">
      <c r="A7" s="469">
        <f t="shared" si="0"/>
        <v>190</v>
      </c>
      <c r="B7" s="161">
        <f t="shared" si="1"/>
        <v>180</v>
      </c>
      <c r="D7" t="s">
        <v>63</v>
      </c>
      <c r="E7" s="163">
        <f>AVERAGE(A5:B15)</f>
        <v>185.81818181818181</v>
      </c>
      <c r="F7" s="8"/>
      <c r="G7" s="8" t="e">
        <f ca="1">FTEXT(E7)</f>
        <v>#NAME?</v>
      </c>
      <c r="I7" s="169">
        <f t="shared" si="2"/>
        <v>190</v>
      </c>
      <c r="J7" s="161">
        <f>B7</f>
        <v>180</v>
      </c>
      <c r="L7" t="s">
        <v>63</v>
      </c>
      <c r="M7" s="163">
        <f>AVERAGE(I5:J15)</f>
        <v>173.71428571428572</v>
      </c>
      <c r="O7" s="169">
        <f t="shared" si="3"/>
        <v>190</v>
      </c>
      <c r="P7" s="161">
        <f t="shared" si="4"/>
        <v>180</v>
      </c>
      <c r="R7" t="s">
        <v>63</v>
      </c>
      <c r="S7" s="163">
        <f>AVERAGE(O5:P15)</f>
        <v>161.9</v>
      </c>
      <c r="U7" s="169">
        <f t="shared" si="5"/>
        <v>190</v>
      </c>
      <c r="V7" s="161">
        <f t="shared" si="6"/>
        <v>180</v>
      </c>
      <c r="X7" t="s">
        <v>63</v>
      </c>
      <c r="Y7" s="163">
        <f>AVERAGE(U5:V15)</f>
        <v>152</v>
      </c>
      <c r="AA7" s="169">
        <f t="shared" si="7"/>
        <v>190</v>
      </c>
      <c r="AB7" s="161">
        <f t="shared" si="8"/>
        <v>180</v>
      </c>
      <c r="AD7" t="s">
        <v>63</v>
      </c>
      <c r="AE7" s="163">
        <f>AVERAGE(AA5:AB15)</f>
        <v>160.27777777777777</v>
      </c>
      <c r="AG7" s="169">
        <f t="shared" si="9"/>
        <v>190</v>
      </c>
      <c r="AH7" s="161">
        <f>AB7</f>
        <v>180</v>
      </c>
      <c r="AJ7" t="s">
        <v>63</v>
      </c>
      <c r="AK7" s="163">
        <f>AVERAGE(AG5:AH15)</f>
        <v>167.35294117647058</v>
      </c>
      <c r="AN7" s="169">
        <v>135</v>
      </c>
      <c r="AO7" s="167">
        <v>195</v>
      </c>
      <c r="AQ7" t="s">
        <v>182</v>
      </c>
      <c r="AR7" t="e">
        <f ca="1">SWTEST(AN4:AO14)</f>
        <v>#NAME?</v>
      </c>
      <c r="AT7" s="169">
        <v>135</v>
      </c>
      <c r="AU7" s="167">
        <v>195</v>
      </c>
      <c r="AW7" t="s">
        <v>182</v>
      </c>
      <c r="AX7" t="e">
        <f ca="1">SWTEST(AT4:AU14)</f>
        <v>#NAME?</v>
      </c>
      <c r="AZ7" t="e">
        <f t="array" aca="1" ref="AZ7:BF10" ca="1">ESD(A5:B15,TRUE,BA5)</f>
        <v>#NAME?</v>
      </c>
      <c r="BA7" s="463" t="e">
        <f ca="1"/>
        <v>#NAME?</v>
      </c>
      <c r="BB7" s="444" t="e">
        <f ca="1"/>
        <v>#NAME?</v>
      </c>
      <c r="BC7" s="444" t="e">
        <f ca="1"/>
        <v>#NAME?</v>
      </c>
      <c r="BD7" s="444" t="e">
        <f ca="1"/>
        <v>#NAME?</v>
      </c>
      <c r="BE7" s="444" t="e">
        <f ca="1"/>
        <v>#NAME?</v>
      </c>
      <c r="BF7" s="464" t="e">
        <f ca="1"/>
        <v>#NAME?</v>
      </c>
    </row>
    <row r="8" spans="1:59" x14ac:dyDescent="0.25">
      <c r="A8" s="469">
        <f t="shared" si="0"/>
        <v>135</v>
      </c>
      <c r="B8" s="161">
        <f t="shared" si="1"/>
        <v>195</v>
      </c>
      <c r="D8" t="s">
        <v>66</v>
      </c>
      <c r="E8" s="163">
        <f>STDEV(A5:B15)</f>
        <v>101.77221828959225</v>
      </c>
      <c r="F8" s="8"/>
      <c r="G8" s="294" t="s">
        <v>1318</v>
      </c>
      <c r="I8" s="169">
        <f t="shared" si="2"/>
        <v>135</v>
      </c>
      <c r="J8" s="161">
        <f>B8</f>
        <v>195</v>
      </c>
      <c r="L8" t="s">
        <v>66</v>
      </c>
      <c r="M8" s="163">
        <f>STDEV(I5:J15)</f>
        <v>86.551801169671123</v>
      </c>
      <c r="O8" s="169">
        <f t="shared" si="3"/>
        <v>135</v>
      </c>
      <c r="P8" s="161">
        <f t="shared" si="4"/>
        <v>195</v>
      </c>
      <c r="R8" t="s">
        <v>66</v>
      </c>
      <c r="S8" s="163">
        <f>STDEV(O5:P15)</f>
        <v>69.282716003647721</v>
      </c>
      <c r="U8" s="169">
        <f t="shared" si="5"/>
        <v>135</v>
      </c>
      <c r="V8" s="161">
        <f t="shared" si="6"/>
        <v>195</v>
      </c>
      <c r="X8" t="s">
        <v>66</v>
      </c>
      <c r="Y8" s="163">
        <f>STDEV(U5:V15)</f>
        <v>54.750951285495184</v>
      </c>
      <c r="AA8" s="169">
        <f t="shared" si="7"/>
        <v>135</v>
      </c>
      <c r="AB8" s="161">
        <f t="shared" si="8"/>
        <v>195</v>
      </c>
      <c r="AD8" t="s">
        <v>66</v>
      </c>
      <c r="AE8" s="163">
        <f>STDEV(AA5:AB15)</f>
        <v>42.373417798753422</v>
      </c>
      <c r="AG8" s="169">
        <f t="shared" si="9"/>
        <v>135</v>
      </c>
      <c r="AH8" s="161">
        <f>AB8</f>
        <v>195</v>
      </c>
      <c r="AJ8" t="s">
        <v>66</v>
      </c>
      <c r="AK8" s="163">
        <f>STDEV(AG5:AH15)</f>
        <v>30.828033460777633</v>
      </c>
      <c r="AN8" s="169">
        <v>220</v>
      </c>
      <c r="AO8" s="167">
        <v>440</v>
      </c>
      <c r="AQ8" t="s">
        <v>262</v>
      </c>
      <c r="AR8">
        <v>0.05</v>
      </c>
      <c r="AT8" s="169">
        <v>220</v>
      </c>
      <c r="AU8" s="167"/>
      <c r="AW8" t="s">
        <v>262</v>
      </c>
      <c r="AX8">
        <v>0.05</v>
      </c>
      <c r="AZ8" t="e">
        <f ca="1"/>
        <v>#NAME?</v>
      </c>
      <c r="BA8" s="162" t="e">
        <f ca="1"/>
        <v>#NAME?</v>
      </c>
      <c r="BB8" s="8" t="e">
        <f ca="1"/>
        <v>#NAME?</v>
      </c>
      <c r="BC8" s="8" t="e">
        <f ca="1"/>
        <v>#NAME?</v>
      </c>
      <c r="BD8" s="8" t="e">
        <f ca="1"/>
        <v>#NAME?</v>
      </c>
      <c r="BE8" s="8" t="e">
        <f ca="1"/>
        <v>#NAME?</v>
      </c>
      <c r="BF8" s="102" t="e">
        <f ca="1"/>
        <v>#NAME?</v>
      </c>
    </row>
    <row r="9" spans="1:59" x14ac:dyDescent="0.25">
      <c r="A9" s="469">
        <f t="shared" si="0"/>
        <v>220</v>
      </c>
      <c r="B9" s="161">
        <f t="shared" si="1"/>
        <v>440</v>
      </c>
      <c r="D9" t="s">
        <v>1178</v>
      </c>
      <c r="E9" s="163">
        <f>E7-E5</f>
        <v>182.81818181818181</v>
      </c>
      <c r="F9" s="8"/>
      <c r="G9" s="8" t="e">
        <f ca="1">FTEXT(E9)</f>
        <v>#NAME?</v>
      </c>
      <c r="I9" s="169">
        <f t="shared" si="2"/>
        <v>220</v>
      </c>
      <c r="J9" s="161"/>
      <c r="L9" t="s">
        <v>1178</v>
      </c>
      <c r="M9" s="163">
        <f>M7-M5</f>
        <v>170.71428571428572</v>
      </c>
      <c r="O9" s="169">
        <f t="shared" si="3"/>
        <v>220</v>
      </c>
      <c r="P9" s="161"/>
      <c r="R9" t="s">
        <v>1178</v>
      </c>
      <c r="S9" s="163">
        <f>S7-S5</f>
        <v>158.9</v>
      </c>
      <c r="U9" s="169">
        <f t="shared" si="5"/>
        <v>220</v>
      </c>
      <c r="V9" s="161"/>
      <c r="X9" t="s">
        <v>1178</v>
      </c>
      <c r="Y9" s="163">
        <f>Y7-Y5</f>
        <v>149</v>
      </c>
      <c r="AA9" s="169">
        <f t="shared" si="7"/>
        <v>220</v>
      </c>
      <c r="AB9" s="161"/>
      <c r="AD9" t="s">
        <v>1178</v>
      </c>
      <c r="AE9" s="163">
        <f>AE7-AE5</f>
        <v>120.27777777777777</v>
      </c>
      <c r="AG9" s="169">
        <f t="shared" si="9"/>
        <v>220</v>
      </c>
      <c r="AH9" s="161"/>
      <c r="AJ9" t="s">
        <v>1178</v>
      </c>
      <c r="AK9" s="163">
        <f>AK7-AK5</f>
        <v>42.35294117647058</v>
      </c>
      <c r="AN9" s="169">
        <v>130</v>
      </c>
      <c r="AO9" s="167">
        <v>215</v>
      </c>
      <c r="AQ9" s="276" t="s">
        <v>704</v>
      </c>
      <c r="AR9" s="320" t="e">
        <f ca="1">IF(AR7&lt;AR8,"no","yes")</f>
        <v>#NAME?</v>
      </c>
      <c r="AT9" s="169">
        <v>130</v>
      </c>
      <c r="AU9" s="167">
        <v>215</v>
      </c>
      <c r="AW9" s="276" t="s">
        <v>704</v>
      </c>
      <c r="AX9" s="320" t="e">
        <f ca="1">IF(AX7&lt;AX8,"no","yes")</f>
        <v>#NAME?</v>
      </c>
      <c r="AZ9" t="e">
        <f ca="1"/>
        <v>#NAME?</v>
      </c>
      <c r="BA9" s="162" t="e">
        <f ca="1"/>
        <v>#NAME?</v>
      </c>
      <c r="BB9" s="8" t="e">
        <f ca="1"/>
        <v>#NAME?</v>
      </c>
      <c r="BC9" s="8" t="e">
        <f ca="1"/>
        <v>#NAME?</v>
      </c>
      <c r="BD9" s="8" t="e">
        <f ca="1"/>
        <v>#NAME?</v>
      </c>
      <c r="BE9" s="8" t="e">
        <f ca="1"/>
        <v>#NAME?</v>
      </c>
      <c r="BF9" s="102" t="e">
        <f ca="1"/>
        <v>#NAME?</v>
      </c>
    </row>
    <row r="10" spans="1:59" x14ac:dyDescent="0.25">
      <c r="A10" s="469">
        <f t="shared" si="0"/>
        <v>130</v>
      </c>
      <c r="B10" s="161">
        <f t="shared" si="1"/>
        <v>215</v>
      </c>
      <c r="D10" t="s">
        <v>1179</v>
      </c>
      <c r="E10" s="163">
        <f>E6-E7</f>
        <v>254.18181818181819</v>
      </c>
      <c r="F10" s="8"/>
      <c r="G10" s="8" t="e">
        <f ca="1">FTEXT(E10)</f>
        <v>#NAME?</v>
      </c>
      <c r="I10" s="169">
        <f t="shared" si="2"/>
        <v>130</v>
      </c>
      <c r="J10" s="161">
        <f t="shared" ref="J10:J15" si="10">B10</f>
        <v>215</v>
      </c>
      <c r="L10" t="s">
        <v>1179</v>
      </c>
      <c r="M10" s="163">
        <f>M6-M7</f>
        <v>236.28571428571428</v>
      </c>
      <c r="O10" s="169">
        <f t="shared" si="3"/>
        <v>130</v>
      </c>
      <c r="P10" s="161">
        <f t="shared" si="4"/>
        <v>215</v>
      </c>
      <c r="R10" t="s">
        <v>1179</v>
      </c>
      <c r="S10" s="163">
        <f>S6-S7</f>
        <v>188.1</v>
      </c>
      <c r="U10" s="169">
        <f t="shared" si="5"/>
        <v>130</v>
      </c>
      <c r="V10" s="161">
        <f t="shared" si="6"/>
        <v>215</v>
      </c>
      <c r="X10" t="s">
        <v>1179</v>
      </c>
      <c r="Y10" s="163">
        <f>Y6-Y7</f>
        <v>68</v>
      </c>
      <c r="AA10" s="169">
        <f t="shared" si="7"/>
        <v>130</v>
      </c>
      <c r="AB10" s="161">
        <f t="shared" si="8"/>
        <v>215</v>
      </c>
      <c r="AD10" t="s">
        <v>1179</v>
      </c>
      <c r="AE10" s="163">
        <f>AE6-AE7</f>
        <v>59.722222222222229</v>
      </c>
      <c r="AG10" s="169">
        <f t="shared" si="9"/>
        <v>130</v>
      </c>
      <c r="AH10" s="161">
        <f>AB10</f>
        <v>215</v>
      </c>
      <c r="AJ10" t="s">
        <v>1179</v>
      </c>
      <c r="AK10" s="163">
        <f>AK6-AK7</f>
        <v>52.64705882352942</v>
      </c>
      <c r="AN10" s="169">
        <v>210</v>
      </c>
      <c r="AO10" s="167">
        <v>135</v>
      </c>
      <c r="AT10" s="169">
        <v>210</v>
      </c>
      <c r="AU10" s="167">
        <v>135</v>
      </c>
      <c r="AZ10" t="e">
        <f ca="1"/>
        <v>#NAME?</v>
      </c>
      <c r="BA10" s="471" t="e">
        <f ca="1"/>
        <v>#NAME?</v>
      </c>
      <c r="BB10" s="472" t="e">
        <f ca="1"/>
        <v>#NAME?</v>
      </c>
      <c r="BC10" s="472" t="e">
        <f ca="1"/>
        <v>#NAME?</v>
      </c>
      <c r="BD10" s="472" t="e">
        <f ca="1"/>
        <v>#NAME?</v>
      </c>
      <c r="BE10" s="472" t="e">
        <f ca="1"/>
        <v>#NAME?</v>
      </c>
      <c r="BF10" s="327" t="e">
        <f ca="1"/>
        <v>#NAME?</v>
      </c>
      <c r="BG10" s="19"/>
    </row>
    <row r="11" spans="1:59" x14ac:dyDescent="0.25">
      <c r="A11" s="469">
        <f t="shared" si="0"/>
        <v>210</v>
      </c>
      <c r="B11" s="161">
        <f t="shared" si="1"/>
        <v>135</v>
      </c>
      <c r="D11" t="s">
        <v>420</v>
      </c>
      <c r="E11" s="155">
        <f>MAX(E9:E10)/E8</f>
        <v>2.4975560369387382</v>
      </c>
      <c r="F11" s="8"/>
      <c r="G11" s="8" t="e">
        <f ca="1">FTEXT(E11)</f>
        <v>#NAME?</v>
      </c>
      <c r="I11" s="169">
        <f t="shared" si="2"/>
        <v>210</v>
      </c>
      <c r="J11" s="161">
        <f t="shared" si="10"/>
        <v>135</v>
      </c>
      <c r="L11" t="s">
        <v>420</v>
      </c>
      <c r="M11" s="155">
        <f>MAX(M9:M10)/M8</f>
        <v>2.7299918787653361</v>
      </c>
      <c r="O11" s="169">
        <f t="shared" si="3"/>
        <v>210</v>
      </c>
      <c r="P11" s="161">
        <f t="shared" si="4"/>
        <v>135</v>
      </c>
      <c r="R11" t="s">
        <v>420</v>
      </c>
      <c r="S11" s="155">
        <f>MAX(S9:S10)/S8</f>
        <v>2.7149628485998814</v>
      </c>
      <c r="U11" s="169">
        <f t="shared" si="5"/>
        <v>210</v>
      </c>
      <c r="V11" s="161">
        <f t="shared" si="6"/>
        <v>135</v>
      </c>
      <c r="X11" t="s">
        <v>420</v>
      </c>
      <c r="Y11" s="155">
        <f>MAX(Y9:Y10)/Y8</f>
        <v>2.7214139024370452</v>
      </c>
      <c r="AA11" s="169">
        <f t="shared" si="7"/>
        <v>210</v>
      </c>
      <c r="AB11" s="161">
        <f t="shared" si="8"/>
        <v>135</v>
      </c>
      <c r="AD11" t="s">
        <v>420</v>
      </c>
      <c r="AE11" s="155">
        <f>MAX(AE9:AE10)/AE8</f>
        <v>2.8385196197535949</v>
      </c>
      <c r="AG11" s="169">
        <f t="shared" si="9"/>
        <v>210</v>
      </c>
      <c r="AH11" s="161">
        <f>AB11</f>
        <v>135</v>
      </c>
      <c r="AJ11" t="s">
        <v>420</v>
      </c>
      <c r="AK11" s="155">
        <f>MAX(AK9:AK10)/AK8</f>
        <v>1.7077657220825335</v>
      </c>
      <c r="AN11" s="169">
        <v>3</v>
      </c>
      <c r="AO11" s="167">
        <v>410</v>
      </c>
      <c r="AT11" s="169"/>
      <c r="AU11" s="167"/>
    </row>
    <row r="12" spans="1:59" x14ac:dyDescent="0.25">
      <c r="A12" s="469">
        <f t="shared" si="0"/>
        <v>3</v>
      </c>
      <c r="B12" s="161">
        <f t="shared" si="1"/>
        <v>410</v>
      </c>
      <c r="G12" s="8" t="e">
        <f ca="1">FTEXT(E12)</f>
        <v>#NAME?</v>
      </c>
      <c r="I12" s="169">
        <f t="shared" si="2"/>
        <v>3</v>
      </c>
      <c r="J12" s="161">
        <f t="shared" si="10"/>
        <v>410</v>
      </c>
      <c r="O12" s="169">
        <f t="shared" si="3"/>
        <v>3</v>
      </c>
      <c r="P12" s="161"/>
      <c r="U12" s="169">
        <f t="shared" si="5"/>
        <v>3</v>
      </c>
      <c r="V12" s="161"/>
      <c r="AA12" s="169"/>
      <c r="AB12" s="161"/>
      <c r="AG12" s="169"/>
      <c r="AH12" s="161"/>
      <c r="AN12" s="169">
        <v>165</v>
      </c>
      <c r="AO12" s="167">
        <v>40</v>
      </c>
      <c r="AT12" s="169">
        <v>165</v>
      </c>
      <c r="AU12" s="167"/>
    </row>
    <row r="13" spans="1:59" x14ac:dyDescent="0.25">
      <c r="A13" s="469">
        <f t="shared" si="0"/>
        <v>165</v>
      </c>
      <c r="B13" s="161">
        <f t="shared" si="1"/>
        <v>40</v>
      </c>
      <c r="D13" t="s">
        <v>262</v>
      </c>
      <c r="E13" s="315">
        <v>0.05</v>
      </c>
      <c r="F13" s="8"/>
      <c r="G13" s="8"/>
      <c r="I13" s="169">
        <f t="shared" si="2"/>
        <v>165</v>
      </c>
      <c r="J13" s="161">
        <f t="shared" si="10"/>
        <v>40</v>
      </c>
      <c r="L13" t="s">
        <v>262</v>
      </c>
      <c r="M13" s="315">
        <v>0.05</v>
      </c>
      <c r="O13" s="169">
        <f t="shared" si="3"/>
        <v>165</v>
      </c>
      <c r="P13" s="161">
        <f t="shared" si="4"/>
        <v>40</v>
      </c>
      <c r="R13" t="s">
        <v>262</v>
      </c>
      <c r="S13" s="315">
        <v>0.05</v>
      </c>
      <c r="U13" s="169">
        <f t="shared" si="5"/>
        <v>165</v>
      </c>
      <c r="V13" s="161">
        <f t="shared" si="6"/>
        <v>40</v>
      </c>
      <c r="X13" t="s">
        <v>262</v>
      </c>
      <c r="Y13" s="315">
        <v>0.05</v>
      </c>
      <c r="AA13" s="169">
        <f t="shared" si="7"/>
        <v>165</v>
      </c>
      <c r="AB13" s="161">
        <f t="shared" si="8"/>
        <v>40</v>
      </c>
      <c r="AD13" t="s">
        <v>262</v>
      </c>
      <c r="AE13" s="315">
        <v>0.05</v>
      </c>
      <c r="AG13" s="169">
        <f>AA13</f>
        <v>165</v>
      </c>
      <c r="AH13" s="161"/>
      <c r="AJ13" t="s">
        <v>262</v>
      </c>
      <c r="AK13" s="315">
        <v>0.05</v>
      </c>
      <c r="AN13" s="169">
        <v>165</v>
      </c>
      <c r="AO13" s="167">
        <v>140</v>
      </c>
      <c r="AT13" s="169">
        <v>165</v>
      </c>
      <c r="AU13" s="167">
        <v>140</v>
      </c>
    </row>
    <row r="14" spans="1:59" x14ac:dyDescent="0.25">
      <c r="A14" s="469">
        <f t="shared" si="0"/>
        <v>165</v>
      </c>
      <c r="B14" s="161">
        <f t="shared" si="1"/>
        <v>140</v>
      </c>
      <c r="D14" t="s">
        <v>64</v>
      </c>
      <c r="E14" s="163">
        <f>COUNT(A5:B15)</f>
        <v>22</v>
      </c>
      <c r="F14" s="8"/>
      <c r="G14" s="8" t="e">
        <f ca="1">FTEXT(E14)</f>
        <v>#NAME?</v>
      </c>
      <c r="I14" s="169">
        <f t="shared" si="2"/>
        <v>165</v>
      </c>
      <c r="J14" s="161">
        <f t="shared" si="10"/>
        <v>140</v>
      </c>
      <c r="L14" t="s">
        <v>64</v>
      </c>
      <c r="M14" s="163">
        <f>COUNT(I5:J15)</f>
        <v>21</v>
      </c>
      <c r="O14" s="169">
        <f t="shared" si="3"/>
        <v>165</v>
      </c>
      <c r="P14" s="161">
        <f t="shared" si="4"/>
        <v>140</v>
      </c>
      <c r="R14" t="s">
        <v>64</v>
      </c>
      <c r="S14" s="163">
        <f>COUNT(O5:P15)</f>
        <v>20</v>
      </c>
      <c r="U14" s="169">
        <f t="shared" si="5"/>
        <v>165</v>
      </c>
      <c r="V14" s="161">
        <f t="shared" si="6"/>
        <v>140</v>
      </c>
      <c r="X14" t="s">
        <v>64</v>
      </c>
      <c r="Y14" s="163">
        <f>COUNT(U5:V15)</f>
        <v>19</v>
      </c>
      <c r="AA14" s="169">
        <f t="shared" si="7"/>
        <v>165</v>
      </c>
      <c r="AB14" s="161">
        <f t="shared" si="8"/>
        <v>140</v>
      </c>
      <c r="AD14" t="s">
        <v>64</v>
      </c>
      <c r="AE14" s="163">
        <f>COUNT(AA5:AB15)</f>
        <v>18</v>
      </c>
      <c r="AG14" s="169">
        <f>AA14</f>
        <v>165</v>
      </c>
      <c r="AH14" s="161">
        <f>AB14</f>
        <v>140</v>
      </c>
      <c r="AJ14" t="s">
        <v>64</v>
      </c>
      <c r="AK14" s="163">
        <f>COUNT(AG5:AH15)</f>
        <v>17</v>
      </c>
      <c r="AN14" s="157">
        <v>150</v>
      </c>
      <c r="AO14" s="153">
        <v>175</v>
      </c>
      <c r="AT14" s="157">
        <v>150</v>
      </c>
      <c r="AU14" s="153">
        <v>175</v>
      </c>
    </row>
    <row r="15" spans="1:59" x14ac:dyDescent="0.25">
      <c r="A15" s="470">
        <f t="shared" si="0"/>
        <v>150</v>
      </c>
      <c r="B15" s="150">
        <f t="shared" si="1"/>
        <v>175</v>
      </c>
      <c r="D15" t="s">
        <v>1174</v>
      </c>
      <c r="E15" s="163">
        <f>E13/E14</f>
        <v>2.2727272727272731E-3</v>
      </c>
      <c r="F15" s="8"/>
      <c r="G15" s="8" t="e">
        <f ca="1">FTEXT(E15)</f>
        <v>#NAME?</v>
      </c>
      <c r="I15" s="157">
        <f t="shared" si="2"/>
        <v>150</v>
      </c>
      <c r="J15" s="150">
        <f t="shared" si="10"/>
        <v>175</v>
      </c>
      <c r="L15" t="s">
        <v>1174</v>
      </c>
      <c r="M15" s="163">
        <f>M13/M14</f>
        <v>2.3809523809523812E-3</v>
      </c>
      <c r="O15" s="157">
        <f t="shared" si="3"/>
        <v>150</v>
      </c>
      <c r="P15" s="150">
        <f t="shared" si="4"/>
        <v>175</v>
      </c>
      <c r="R15" t="s">
        <v>1174</v>
      </c>
      <c r="S15" s="163">
        <f>S13/S14</f>
        <v>2.5000000000000001E-3</v>
      </c>
      <c r="U15" s="157">
        <f t="shared" si="5"/>
        <v>150</v>
      </c>
      <c r="V15" s="150">
        <f t="shared" si="6"/>
        <v>175</v>
      </c>
      <c r="X15" t="s">
        <v>1174</v>
      </c>
      <c r="Y15" s="163">
        <f>Y13/Y14</f>
        <v>2.631578947368421E-3</v>
      </c>
      <c r="AA15" s="157">
        <f t="shared" si="7"/>
        <v>150</v>
      </c>
      <c r="AB15" s="150">
        <f t="shared" si="8"/>
        <v>175</v>
      </c>
      <c r="AD15" t="s">
        <v>1174</v>
      </c>
      <c r="AE15" s="163">
        <f>AE13/AE14</f>
        <v>2.7777777777777779E-3</v>
      </c>
      <c r="AG15" s="157">
        <f>AA15</f>
        <v>150</v>
      </c>
      <c r="AH15" s="150">
        <f>AB15</f>
        <v>175</v>
      </c>
      <c r="AJ15" t="s">
        <v>1174</v>
      </c>
      <c r="AK15" s="163">
        <f>AK13/AK14</f>
        <v>2.9411764705882353E-3</v>
      </c>
    </row>
    <row r="16" spans="1:59" x14ac:dyDescent="0.25">
      <c r="D16" t="s">
        <v>168</v>
      </c>
      <c r="E16" s="163">
        <f>E14-2</f>
        <v>20</v>
      </c>
      <c r="F16" s="8"/>
      <c r="G16" s="8" t="e">
        <f ca="1">FTEXT(E16)</f>
        <v>#NAME?</v>
      </c>
      <c r="L16" t="s">
        <v>168</v>
      </c>
      <c r="M16" s="163">
        <f>M14-2</f>
        <v>19</v>
      </c>
      <c r="R16" t="s">
        <v>168</v>
      </c>
      <c r="S16" s="163">
        <f>S14-2</f>
        <v>18</v>
      </c>
      <c r="X16" t="s">
        <v>168</v>
      </c>
      <c r="Y16" s="163">
        <f>Y14-2</f>
        <v>17</v>
      </c>
      <c r="AD16" t="s">
        <v>168</v>
      </c>
      <c r="AE16" s="163">
        <f>AE14-2</f>
        <v>16</v>
      </c>
      <c r="AJ16" t="s">
        <v>168</v>
      </c>
      <c r="AK16" s="163">
        <f>AK14-2</f>
        <v>15</v>
      </c>
    </row>
    <row r="17" spans="4:48" x14ac:dyDescent="0.25">
      <c r="D17" t="s">
        <v>183</v>
      </c>
      <c r="E17" s="163">
        <f>TINV(E15,E16)</f>
        <v>3.4966411965676412</v>
      </c>
      <c r="F17" s="8"/>
      <c r="G17" s="294" t="s">
        <v>1319</v>
      </c>
      <c r="L17" t="s">
        <v>183</v>
      </c>
      <c r="M17" s="163">
        <f>TINV(M15,M16)</f>
        <v>3.5026559386265497</v>
      </c>
      <c r="R17" t="s">
        <v>183</v>
      </c>
      <c r="S17" s="163">
        <f>TINV(S15,S16)</f>
        <v>3.5101041304634206</v>
      </c>
      <c r="X17" t="s">
        <v>183</v>
      </c>
      <c r="Y17" s="163">
        <f>TINV(Y15,Y16)</f>
        <v>3.5192999602032482</v>
      </c>
      <c r="AD17" t="s">
        <v>183</v>
      </c>
      <c r="AE17" s="163">
        <f>TINV(AE15,AE16)</f>
        <v>3.530647943008447</v>
      </c>
      <c r="AJ17" t="s">
        <v>183</v>
      </c>
      <c r="AK17" s="163">
        <f>TINV(AK15,AK16)</f>
        <v>3.5446767899400018</v>
      </c>
    </row>
    <row r="18" spans="4:48" x14ac:dyDescent="0.25">
      <c r="D18" t="s">
        <v>1175</v>
      </c>
      <c r="E18" s="163">
        <f>(E14-1)*E17/SQRT(E14*(E16+E17^2))</f>
        <v>2.7577345245675677</v>
      </c>
      <c r="F18" s="8"/>
      <c r="G18" s="8" t="e">
        <f ca="1">FTEXT(E18)</f>
        <v>#NAME?</v>
      </c>
      <c r="L18" t="s">
        <v>1175</v>
      </c>
      <c r="M18" s="163">
        <f>(M14-1)*M17/SQRT(M14*(M16+M17^2))</f>
        <v>2.73378035695653</v>
      </c>
      <c r="R18" t="s">
        <v>1175</v>
      </c>
      <c r="S18" s="163">
        <f>(S14-1)*S17/SQRT(S14*(S16+S17^2))</f>
        <v>2.7082456458057544</v>
      </c>
      <c r="X18" t="s">
        <v>1175</v>
      </c>
      <c r="Y18" s="163">
        <f>(Y14-1)*Y17/SQRT(Y14*(Y16+Y17^2))</f>
        <v>2.680931096775395</v>
      </c>
      <c r="AD18" t="s">
        <v>1175</v>
      </c>
      <c r="AE18" s="163">
        <f>(AE14-1)*AE17/SQRT(AE14*(AE16+AE17^2))</f>
        <v>2.6515991201297915</v>
      </c>
      <c r="AJ18" t="s">
        <v>1175</v>
      </c>
      <c r="AK18" s="163">
        <f>(AK14-1)*AK17/SQRT(AK14*(AK16+AK17^2))</f>
        <v>2.6199636398344377</v>
      </c>
    </row>
    <row r="19" spans="4:48" x14ac:dyDescent="0.25">
      <c r="D19" t="s">
        <v>381</v>
      </c>
      <c r="E19" s="152" t="str">
        <f>IF(E11&gt;E18,"yes","no")</f>
        <v>no</v>
      </c>
      <c r="F19" s="41"/>
      <c r="G19" s="8" t="e">
        <f ca="1">FTEXT(E19)</f>
        <v>#NAME?</v>
      </c>
      <c r="L19" t="s">
        <v>381</v>
      </c>
      <c r="M19" s="152" t="str">
        <f>IF(M11&gt;M18,"yes","no")</f>
        <v>no</v>
      </c>
      <c r="R19" t="s">
        <v>381</v>
      </c>
      <c r="S19" s="152" t="str">
        <f>IF(S11&gt;S18,"yes","no")</f>
        <v>yes</v>
      </c>
      <c r="X19" t="s">
        <v>381</v>
      </c>
      <c r="Y19" s="152" t="str">
        <f>IF(Y11&gt;Y18,"yes","no")</f>
        <v>yes</v>
      </c>
      <c r="AD19" t="s">
        <v>381</v>
      </c>
      <c r="AE19" s="152" t="str">
        <f>IF(AE11&gt;AE18,"yes","no")</f>
        <v>yes</v>
      </c>
      <c r="AJ19" t="s">
        <v>381</v>
      </c>
      <c r="AK19" s="152" t="str">
        <f>IF(AK11&gt;AK18,"yes","no")</f>
        <v>no</v>
      </c>
    </row>
    <row r="21" spans="4:48" x14ac:dyDescent="0.25">
      <c r="L21" t="s">
        <v>386</v>
      </c>
      <c r="AN21" t="s">
        <v>1187</v>
      </c>
      <c r="AV21" t="s">
        <v>1188</v>
      </c>
    </row>
    <row r="23" spans="4:48" x14ac:dyDescent="0.25">
      <c r="L23" s="414" t="s">
        <v>1185</v>
      </c>
      <c r="M23" s="414" t="s">
        <v>1186</v>
      </c>
      <c r="N23" s="414" t="s">
        <v>420</v>
      </c>
      <c r="O23" s="414" t="s">
        <v>1175</v>
      </c>
      <c r="P23" s="414" t="s">
        <v>381</v>
      </c>
      <c r="AN23" t="e">
        <f t="array" aca="1" ref="AN23:AT26" ca="1">ESD(A5:B15,TRUE)</f>
        <v>#NAME?</v>
      </c>
      <c r="AO23" s="316" t="e">
        <f ca="1"/>
        <v>#NAME?</v>
      </c>
      <c r="AP23" s="314" t="e">
        <f ca="1"/>
        <v>#NAME?</v>
      </c>
      <c r="AQ23" s="314" t="e">
        <f ca="1"/>
        <v>#NAME?</v>
      </c>
      <c r="AR23" s="314" t="e">
        <f ca="1"/>
        <v>#NAME?</v>
      </c>
      <c r="AS23" s="314" t="e">
        <f ca="1"/>
        <v>#NAME?</v>
      </c>
      <c r="AT23" s="317" t="e">
        <f ca="1"/>
        <v>#NAME?</v>
      </c>
      <c r="AV23" s="315" t="e">
        <f t="array" aca="1" ref="AV23:AV31" ca="1">OUTLIERS(A5:B15)</f>
        <v>#NAME?</v>
      </c>
    </row>
    <row r="24" spans="4:48" x14ac:dyDescent="0.25">
      <c r="L24" s="415">
        <v>1</v>
      </c>
      <c r="M24" s="314">
        <f>E6</f>
        <v>440</v>
      </c>
      <c r="N24" s="314">
        <f>E11</f>
        <v>2.4975560369387382</v>
      </c>
      <c r="O24" s="314">
        <f>E18</f>
        <v>2.7577345245675677</v>
      </c>
      <c r="P24" s="411" t="str">
        <f t="shared" ref="P24:P29" si="11">IF(N24&gt;O24,"yes","no")</f>
        <v>no</v>
      </c>
      <c r="AN24" t="e">
        <f ca="1"/>
        <v>#NAME?</v>
      </c>
      <c r="AO24" s="166" t="e">
        <f ca="1"/>
        <v>#NAME?</v>
      </c>
      <c r="AP24" s="8" t="e">
        <f ca="1"/>
        <v>#NAME?</v>
      </c>
      <c r="AQ24" s="8" t="e">
        <f ca="1"/>
        <v>#NAME?</v>
      </c>
      <c r="AR24" s="8" t="e">
        <f ca="1"/>
        <v>#NAME?</v>
      </c>
      <c r="AS24" s="8" t="e">
        <f ca="1"/>
        <v>#NAME?</v>
      </c>
      <c r="AT24" s="167" t="e">
        <f ca="1"/>
        <v>#NAME?</v>
      </c>
      <c r="AV24" s="163" t="e">
        <f ca="1"/>
        <v>#NAME?</v>
      </c>
    </row>
    <row r="25" spans="4:48" x14ac:dyDescent="0.25">
      <c r="L25" s="169">
        <v>2</v>
      </c>
      <c r="M25" s="8">
        <f>M6</f>
        <v>410</v>
      </c>
      <c r="N25" s="8">
        <f>M11</f>
        <v>2.7299918787653361</v>
      </c>
      <c r="O25" s="8">
        <f>M18</f>
        <v>2.73378035695653</v>
      </c>
      <c r="P25" s="161" t="str">
        <f t="shared" si="11"/>
        <v>no</v>
      </c>
      <c r="AN25" t="e">
        <f ca="1"/>
        <v>#NAME?</v>
      </c>
      <c r="AO25" s="166" t="e">
        <f ca="1"/>
        <v>#NAME?</v>
      </c>
      <c r="AP25" s="8" t="e">
        <f ca="1"/>
        <v>#NAME?</v>
      </c>
      <c r="AQ25" s="8" t="e">
        <f ca="1"/>
        <v>#NAME?</v>
      </c>
      <c r="AR25" s="8" t="e">
        <f ca="1"/>
        <v>#NAME?</v>
      </c>
      <c r="AS25" s="8" t="e">
        <f ca="1"/>
        <v>#NAME?</v>
      </c>
      <c r="AT25" s="167" t="e">
        <f ca="1"/>
        <v>#NAME?</v>
      </c>
      <c r="AV25" s="163" t="e">
        <f ca="1"/>
        <v>#NAME?</v>
      </c>
    </row>
    <row r="26" spans="4:48" x14ac:dyDescent="0.25">
      <c r="L26" s="169">
        <v>3</v>
      </c>
      <c r="M26" s="8">
        <f>S6</f>
        <v>350</v>
      </c>
      <c r="N26" s="8">
        <f>S11</f>
        <v>2.7149628485998814</v>
      </c>
      <c r="O26" s="8">
        <f>S18</f>
        <v>2.7082456458057544</v>
      </c>
      <c r="P26" s="161" t="str">
        <f t="shared" si="11"/>
        <v>yes</v>
      </c>
      <c r="AN26" t="e">
        <f ca="1"/>
        <v>#NAME?</v>
      </c>
      <c r="AO26" s="318" t="e">
        <f ca="1"/>
        <v>#NAME?</v>
      </c>
      <c r="AP26" s="320" t="e">
        <f ca="1"/>
        <v>#NAME?</v>
      </c>
      <c r="AQ26" s="320" t="e">
        <f ca="1"/>
        <v>#NAME?</v>
      </c>
      <c r="AR26" s="320" t="e">
        <f ca="1"/>
        <v>#NAME?</v>
      </c>
      <c r="AS26" s="320" t="e">
        <f ca="1"/>
        <v>#NAME?</v>
      </c>
      <c r="AT26" s="319" t="e">
        <f ca="1"/>
        <v>#NAME?</v>
      </c>
      <c r="AV26" s="163" t="e">
        <f ca="1"/>
        <v>#NAME?</v>
      </c>
    </row>
    <row r="27" spans="4:48" x14ac:dyDescent="0.25">
      <c r="L27" s="169">
        <v>4</v>
      </c>
      <c r="M27" s="8">
        <f>Y5</f>
        <v>3</v>
      </c>
      <c r="N27" s="8">
        <f>Y11</f>
        <v>2.7214139024370452</v>
      </c>
      <c r="O27" s="8">
        <f>Y18</f>
        <v>2.680931096775395</v>
      </c>
      <c r="P27" s="161" t="str">
        <f t="shared" si="11"/>
        <v>yes</v>
      </c>
      <c r="AV27" s="163" t="e">
        <f ca="1"/>
        <v>#NAME?</v>
      </c>
    </row>
    <row r="28" spans="4:48" x14ac:dyDescent="0.25">
      <c r="L28" s="169">
        <v>5</v>
      </c>
      <c r="M28" s="8">
        <f>AE5</f>
        <v>40</v>
      </c>
      <c r="N28" s="8">
        <f>AE11</f>
        <v>2.8385196197535949</v>
      </c>
      <c r="O28" s="8">
        <f>AE18</f>
        <v>2.6515991201297915</v>
      </c>
      <c r="P28" s="161" t="str">
        <f t="shared" si="11"/>
        <v>yes</v>
      </c>
      <c r="AV28" s="163" t="e">
        <f ca="1"/>
        <v>#NAME?</v>
      </c>
    </row>
    <row r="29" spans="4:48" x14ac:dyDescent="0.25">
      <c r="L29" s="157">
        <v>6</v>
      </c>
      <c r="M29" s="276">
        <f>AK6</f>
        <v>220</v>
      </c>
      <c r="N29" s="276">
        <f>AK11</f>
        <v>1.7077657220825335</v>
      </c>
      <c r="O29" s="276">
        <f>AK18</f>
        <v>2.6199636398344377</v>
      </c>
      <c r="P29" s="150" t="str">
        <f t="shared" si="11"/>
        <v>no</v>
      </c>
      <c r="AV29" s="163" t="e">
        <f ca="1"/>
        <v>#NAME?</v>
      </c>
    </row>
    <row r="30" spans="4:48" x14ac:dyDescent="0.25">
      <c r="AV30" s="163" t="e">
        <f ca="1"/>
        <v>#NAME?</v>
      </c>
    </row>
    <row r="31" spans="4:48" x14ac:dyDescent="0.25">
      <c r="AV31" s="155" t="e">
        <f ca="1"/>
        <v>#NAME?</v>
      </c>
    </row>
  </sheetData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U66"/>
  <sheetViews>
    <sheetView workbookViewId="0"/>
  </sheetViews>
  <sheetFormatPr defaultRowHeight="15" x14ac:dyDescent="0.25"/>
  <cols>
    <col min="1" max="1" width="16.28515625" customWidth="1"/>
    <col min="8" max="8" width="18.42578125" customWidth="1"/>
    <col min="17" max="21" width="11.7109375" customWidth="1"/>
  </cols>
  <sheetData>
    <row r="1" spans="1:20" x14ac:dyDescent="0.25">
      <c r="A1" s="1" t="s">
        <v>252</v>
      </c>
      <c r="Q1" t="s">
        <v>1134</v>
      </c>
      <c r="R1" t="s">
        <v>1134</v>
      </c>
      <c r="S1" t="s">
        <v>1135</v>
      </c>
      <c r="T1" t="s">
        <v>1138</v>
      </c>
    </row>
    <row r="2" spans="1:20" x14ac:dyDescent="0.25">
      <c r="A2" s="1"/>
      <c r="P2" t="s">
        <v>28</v>
      </c>
      <c r="Q2" s="316">
        <f>Q9</f>
        <v>2.7326367934996632</v>
      </c>
      <c r="R2" s="292">
        <f>R9</f>
        <v>15.507313055865453</v>
      </c>
      <c r="S2" s="292">
        <f>S9</f>
        <v>2.7326367934996614</v>
      </c>
      <c r="T2" s="317">
        <f>T9</f>
        <v>15.507313055865453</v>
      </c>
    </row>
    <row r="3" spans="1:20" x14ac:dyDescent="0.25">
      <c r="A3" s="24" t="s">
        <v>253</v>
      </c>
      <c r="P3" t="s">
        <v>168</v>
      </c>
      <c r="Q3" s="166">
        <v>8</v>
      </c>
      <c r="R3" s="8">
        <v>8</v>
      </c>
      <c r="S3" s="8">
        <v>8</v>
      </c>
      <c r="T3" s="167">
        <v>8</v>
      </c>
    </row>
    <row r="4" spans="1:20" x14ac:dyDescent="0.25">
      <c r="A4" s="1"/>
      <c r="P4" s="53" t="s">
        <v>271</v>
      </c>
      <c r="Q4" s="148">
        <f>CHIDIST(Q2,Q3)</f>
        <v>0.95</v>
      </c>
      <c r="R4" s="276">
        <v>0.05</v>
      </c>
      <c r="S4" s="276">
        <f>_xlfn.CHISQ.DIST(S2,S3,TRUE)</f>
        <v>4.9999999999999989E-2</v>
      </c>
      <c r="T4" s="153">
        <f>_xlfn.CHISQ.DIST.RT(T2,T3)</f>
        <v>5.0000000000000017E-2</v>
      </c>
    </row>
    <row r="6" spans="1:20" x14ac:dyDescent="0.25">
      <c r="Q6" t="s">
        <v>1136</v>
      </c>
      <c r="R6" t="s">
        <v>1136</v>
      </c>
      <c r="S6" t="s">
        <v>1137</v>
      </c>
      <c r="T6" t="s">
        <v>1139</v>
      </c>
    </row>
    <row r="7" spans="1:20" x14ac:dyDescent="0.25">
      <c r="P7" s="53" t="s">
        <v>140</v>
      </c>
      <c r="Q7" s="316">
        <v>0.95</v>
      </c>
      <c r="R7" s="292">
        <v>0.05</v>
      </c>
      <c r="S7" s="292">
        <v>0.05</v>
      </c>
      <c r="T7" s="317">
        <v>0.05</v>
      </c>
    </row>
    <row r="8" spans="1:20" x14ac:dyDescent="0.25">
      <c r="P8" s="147" t="s">
        <v>168</v>
      </c>
      <c r="Q8" s="166">
        <v>8</v>
      </c>
      <c r="R8" s="8">
        <v>8</v>
      </c>
      <c r="S8" s="8">
        <v>8</v>
      </c>
      <c r="T8" s="167">
        <v>8</v>
      </c>
    </row>
    <row r="9" spans="1:20" x14ac:dyDescent="0.25">
      <c r="P9" s="147" t="s">
        <v>28</v>
      </c>
      <c r="Q9" s="148">
        <f>CHIINV(Q7,Q8)</f>
        <v>2.7326367934996632</v>
      </c>
      <c r="R9" s="276">
        <f>CHIINV(R7,R8)</f>
        <v>15.507313055865453</v>
      </c>
      <c r="S9" s="276">
        <f>_xlfn.CHISQ.INV(S7,S8)</f>
        <v>2.7326367934996614</v>
      </c>
      <c r="T9" s="153">
        <f>_xlfn.CHISQ.INV.RT(T7,T8)</f>
        <v>15.507313055865453</v>
      </c>
    </row>
    <row r="10" spans="1:20" x14ac:dyDescent="0.25">
      <c r="A10" t="s">
        <v>151</v>
      </c>
      <c r="C10">
        <v>1</v>
      </c>
      <c r="D10">
        <v>5</v>
      </c>
      <c r="E10">
        <v>10</v>
      </c>
      <c r="F10">
        <v>30</v>
      </c>
    </row>
    <row r="11" spans="1:20" x14ac:dyDescent="0.25">
      <c r="A11" t="s">
        <v>153</v>
      </c>
      <c r="C11">
        <f>C10/2</f>
        <v>0.5</v>
      </c>
      <c r="D11">
        <f>D10/2</f>
        <v>2.5</v>
      </c>
      <c r="E11">
        <f>E10/2</f>
        <v>5</v>
      </c>
      <c r="F11">
        <f>F10/2</f>
        <v>15</v>
      </c>
      <c r="Q11" t="s">
        <v>1135</v>
      </c>
      <c r="R11" t="s">
        <v>1140</v>
      </c>
    </row>
    <row r="12" spans="1:20" x14ac:dyDescent="0.25">
      <c r="A12" t="s">
        <v>155</v>
      </c>
      <c r="C12">
        <f>EXP(-1)/GAMMADIST(1,C11,1,FALSE)</f>
        <v>1.7724538509055161</v>
      </c>
      <c r="D12">
        <f>EXP(-1)/GAMMADIST(1,D11,1,FALSE)</f>
        <v>1.329340388179137</v>
      </c>
      <c r="E12">
        <f>EXP(-1)/GAMMADIST(1,E11,1,FALSE)</f>
        <v>23.999999999999996</v>
      </c>
      <c r="F12">
        <f>EXP(-1)/GAMMADIST(1,F11,1,FALSE)</f>
        <v>87178291200.000198</v>
      </c>
      <c r="P12" t="s">
        <v>28</v>
      </c>
      <c r="Q12" s="316">
        <f>S2</f>
        <v>2.7326367934996614</v>
      </c>
      <c r="R12" s="317">
        <f>Q12</f>
        <v>2.7326367934996614</v>
      </c>
    </row>
    <row r="13" spans="1:20" x14ac:dyDescent="0.25">
      <c r="A13" t="s">
        <v>157</v>
      </c>
      <c r="C13">
        <f>2^(C11)*C12</f>
        <v>2.5066282746310007</v>
      </c>
      <c r="D13">
        <f>2^(D11)*D12</f>
        <v>7.5198848238930021</v>
      </c>
      <c r="E13">
        <f>2^(E11)*E12</f>
        <v>767.99999999999989</v>
      </c>
      <c r="F13">
        <f>2^(F11)*F12</f>
        <v>2856658246041606.5</v>
      </c>
      <c r="P13" t="s">
        <v>168</v>
      </c>
      <c r="Q13" s="166">
        <v>8</v>
      </c>
      <c r="R13" s="167">
        <v>8</v>
      </c>
    </row>
    <row r="14" spans="1:20" x14ac:dyDescent="0.25">
      <c r="P14" t="s">
        <v>29</v>
      </c>
      <c r="Q14" s="166">
        <f>_xlfn.CHISQ.DIST(Q12,Q13,FALSE)</f>
        <v>5.4211317423840118E-2</v>
      </c>
      <c r="R14" s="167" t="e">
        <f ca="1">CHISQ_DIST(R12,R13,FALSE)</f>
        <v>#NAME?</v>
      </c>
    </row>
    <row r="15" spans="1:20" x14ac:dyDescent="0.25">
      <c r="B15" s="19" t="s">
        <v>28</v>
      </c>
      <c r="C15" s="19">
        <f>C10</f>
        <v>1</v>
      </c>
      <c r="D15">
        <f>D10</f>
        <v>5</v>
      </c>
      <c r="E15">
        <f>E10</f>
        <v>10</v>
      </c>
      <c r="F15">
        <f>F10</f>
        <v>30</v>
      </c>
      <c r="P15" t="s">
        <v>30</v>
      </c>
      <c r="Q15" s="148">
        <f>_xlfn.CHISQ.DIST(Q12,Q13,TRUE)</f>
        <v>4.9999999999999989E-2</v>
      </c>
      <c r="R15" s="153" t="e">
        <f ca="1">CHISQ_DIST(R12,R13,TRUE)</f>
        <v>#NAME?</v>
      </c>
    </row>
    <row r="16" spans="1:20" x14ac:dyDescent="0.25">
      <c r="B16" s="52">
        <v>0</v>
      </c>
      <c r="C16" t="e">
        <f>$B16^(C$11-1)/(EXP($B16/2)*C$13)</f>
        <v>#DIV/0!</v>
      </c>
      <c r="D16">
        <f t="shared" ref="D16:F31" si="0">$B16^(D$11-1)/(EXP($B16/2)*D$13)</f>
        <v>0</v>
      </c>
      <c r="E16">
        <f t="shared" si="0"/>
        <v>0</v>
      </c>
      <c r="F16">
        <f t="shared" si="0"/>
        <v>0</v>
      </c>
    </row>
    <row r="17" spans="2:21" x14ac:dyDescent="0.25">
      <c r="B17" s="52">
        <f>B16+0.5</f>
        <v>0.5</v>
      </c>
      <c r="C17">
        <f t="shared" ref="C17:F57" si="1">$B17^(C$11-1)/(EXP($B17/2)*C$13)</f>
        <v>0.43939128946772238</v>
      </c>
      <c r="D17">
        <f t="shared" si="0"/>
        <v>3.661594078897687E-2</v>
      </c>
      <c r="E17">
        <f t="shared" si="0"/>
        <v>6.3378969976514082E-5</v>
      </c>
      <c r="F17">
        <f t="shared" si="0"/>
        <v>1.6639801960298342E-20</v>
      </c>
      <c r="Q17" s="458" t="s">
        <v>1135</v>
      </c>
      <c r="R17" s="458" t="s">
        <v>1135</v>
      </c>
      <c r="S17" s="321" t="s">
        <v>1302</v>
      </c>
      <c r="T17" s="458" t="s">
        <v>1140</v>
      </c>
      <c r="U17" s="458" t="s">
        <v>1303</v>
      </c>
    </row>
    <row r="18" spans="2:21" x14ac:dyDescent="0.25">
      <c r="B18" s="52">
        <f t="shared" ref="B18:B66" si="2">B17+0.5</f>
        <v>1</v>
      </c>
      <c r="C18">
        <f t="shared" si="1"/>
        <v>0.24197072451914331</v>
      </c>
      <c r="D18">
        <f t="shared" si="0"/>
        <v>8.065690817304777E-2</v>
      </c>
      <c r="E18">
        <f t="shared" si="0"/>
        <v>7.8975346316749158E-4</v>
      </c>
      <c r="F18">
        <f t="shared" si="0"/>
        <v>2.1232174361531921E-16</v>
      </c>
      <c r="P18" t="s">
        <v>28</v>
      </c>
      <c r="Q18" s="4">
        <v>4</v>
      </c>
      <c r="R18" s="292">
        <f>Q18</f>
        <v>4</v>
      </c>
      <c r="S18" s="292">
        <v>4</v>
      </c>
      <c r="T18" s="292">
        <v>4</v>
      </c>
      <c r="U18" s="459">
        <v>4</v>
      </c>
    </row>
    <row r="19" spans="2:21" x14ac:dyDescent="0.25">
      <c r="B19" s="52">
        <f t="shared" si="2"/>
        <v>1.5</v>
      </c>
      <c r="C19">
        <f t="shared" si="1"/>
        <v>0.15386632280545529</v>
      </c>
      <c r="D19">
        <f t="shared" si="0"/>
        <v>0.11539974210409143</v>
      </c>
      <c r="E19">
        <f t="shared" si="0"/>
        <v>3.1137443662127436E-3</v>
      </c>
      <c r="F19">
        <f t="shared" si="0"/>
        <v>4.8272354070163344E-14</v>
      </c>
      <c r="P19" t="s">
        <v>168</v>
      </c>
      <c r="Q19" s="7">
        <v>5.9</v>
      </c>
      <c r="R19" s="8">
        <v>5</v>
      </c>
      <c r="S19" s="8">
        <v>5.9</v>
      </c>
      <c r="T19" s="8">
        <v>5.9</v>
      </c>
      <c r="U19" s="174">
        <v>5.9</v>
      </c>
    </row>
    <row r="20" spans="2:21" x14ac:dyDescent="0.25">
      <c r="B20" s="52">
        <f t="shared" si="2"/>
        <v>2</v>
      </c>
      <c r="C20">
        <f t="shared" si="1"/>
        <v>0.10377687435514865</v>
      </c>
      <c r="D20">
        <f t="shared" si="0"/>
        <v>0.1383691658068649</v>
      </c>
      <c r="E20">
        <f t="shared" si="0"/>
        <v>7.6641550244050498E-3</v>
      </c>
      <c r="F20">
        <f t="shared" si="0"/>
        <v>2.1099257401562919E-12</v>
      </c>
      <c r="P20" t="s">
        <v>29</v>
      </c>
      <c r="Q20" s="7">
        <f>_xlfn.CHISQ.DIST(Q18,Q19,FALSE)</f>
        <v>0.14397591070183482</v>
      </c>
      <c r="R20" s="8" t="e">
        <f ca="1">CHISQ_DIST(R18,R19,FALSE)</f>
        <v>#NAME?</v>
      </c>
      <c r="S20" s="8"/>
      <c r="T20" s="8" t="e">
        <f ca="1">CHISQ_DIST(T18,T19,FALSE)</f>
        <v>#NAME?</v>
      </c>
      <c r="U20" s="167">
        <f>_xlfn.GAMMA.DIST(U18,U19/2,2,FALSE)</f>
        <v>0.1368301296733446</v>
      </c>
    </row>
    <row r="21" spans="2:21" x14ac:dyDescent="0.25">
      <c r="B21" s="52">
        <f t="shared" si="2"/>
        <v>2.5</v>
      </c>
      <c r="C21">
        <f t="shared" si="1"/>
        <v>7.2288957067272508E-2</v>
      </c>
      <c r="D21">
        <f t="shared" si="0"/>
        <v>0.15060199389015105</v>
      </c>
      <c r="E21">
        <f t="shared" si="0"/>
        <v>1.4572387535613513E-2</v>
      </c>
      <c r="F21">
        <f t="shared" si="0"/>
        <v>3.7362311073962552E-11</v>
      </c>
      <c r="P21" t="s">
        <v>30</v>
      </c>
      <c r="Q21" s="148">
        <f>_xlfn.CHISQ.DIST(Q18,Q19,TRUE)</f>
        <v>0.4505840486472199</v>
      </c>
      <c r="R21" s="276" t="e">
        <f ca="1">CHISQ_DIST(R18,R19,TRUE)</f>
        <v>#NAME?</v>
      </c>
      <c r="S21" s="276">
        <f>1-CHIDIST(S18,S19)</f>
        <v>0.4505840486472199</v>
      </c>
      <c r="T21" s="276" t="e">
        <f ca="1">CHISQ_DIST(T18,T19,TRUE)</f>
        <v>#NAME?</v>
      </c>
      <c r="U21" s="153">
        <f>_xlfn.GAMMA.DIST(U18,U19/2,2,TRUE)</f>
        <v>0.33503881341387054</v>
      </c>
    </row>
    <row r="22" spans="2:21" x14ac:dyDescent="0.25">
      <c r="B22" s="52">
        <f t="shared" si="2"/>
        <v>3</v>
      </c>
      <c r="C22">
        <f t="shared" si="1"/>
        <v>5.1393443267923097E-2</v>
      </c>
      <c r="D22">
        <f t="shared" si="0"/>
        <v>0.15418032980376928</v>
      </c>
      <c r="E22">
        <f t="shared" si="0"/>
        <v>2.3533259078154716E-2</v>
      </c>
      <c r="F22">
        <f t="shared" si="0"/>
        <v>3.7359199002323759E-10</v>
      </c>
    </row>
    <row r="23" spans="2:21" x14ac:dyDescent="0.25">
      <c r="B23" s="52">
        <f t="shared" si="2"/>
        <v>3.5</v>
      </c>
      <c r="C23">
        <f t="shared" si="1"/>
        <v>3.705618452374812E-2</v>
      </c>
      <c r="D23">
        <f t="shared" si="0"/>
        <v>0.15131275347197151</v>
      </c>
      <c r="E23">
        <f t="shared" si="0"/>
        <v>3.3954365089885967E-2</v>
      </c>
      <c r="F23">
        <f t="shared" si="0"/>
        <v>2.5181348906610033E-9</v>
      </c>
    </row>
    <row r="24" spans="2:21" x14ac:dyDescent="0.25">
      <c r="B24" s="52">
        <f t="shared" si="2"/>
        <v>4</v>
      </c>
      <c r="C24">
        <f t="shared" si="1"/>
        <v>2.6995483256594024E-2</v>
      </c>
      <c r="D24">
        <f t="shared" si="0"/>
        <v>0.14397591070183474</v>
      </c>
      <c r="E24">
        <f t="shared" si="0"/>
        <v>4.5111761078870903E-2</v>
      </c>
      <c r="F24">
        <f t="shared" si="0"/>
        <v>1.2717232983276559E-8</v>
      </c>
    </row>
    <row r="25" spans="2:21" x14ac:dyDescent="0.25">
      <c r="B25" s="52">
        <f t="shared" si="2"/>
        <v>4.5</v>
      </c>
      <c r="C25">
        <f t="shared" si="1"/>
        <v>1.9821714870604894E-2</v>
      </c>
      <c r="D25">
        <f t="shared" si="0"/>
        <v>0.13379657537658299</v>
      </c>
      <c r="E25">
        <f t="shared" si="0"/>
        <v>5.6276392606639976E-2</v>
      </c>
      <c r="F25">
        <f t="shared" si="0"/>
        <v>5.1517445644036793E-8</v>
      </c>
    </row>
    <row r="26" spans="2:21" x14ac:dyDescent="0.25">
      <c r="B26" s="52">
        <f t="shared" si="2"/>
        <v>5</v>
      </c>
      <c r="C26">
        <f t="shared" si="1"/>
        <v>1.4644982561926485E-2</v>
      </c>
      <c r="D26">
        <f t="shared" si="0"/>
        <v>0.12204152134938735</v>
      </c>
      <c r="E26">
        <f t="shared" si="0"/>
        <v>6.6800942890542656E-2</v>
      </c>
      <c r="F26">
        <f t="shared" si="0"/>
        <v>1.7538222234784354E-7</v>
      </c>
    </row>
    <row r="27" spans="2:21" x14ac:dyDescent="0.25">
      <c r="B27" s="52">
        <f t="shared" si="2"/>
        <v>5.5</v>
      </c>
      <c r="C27">
        <f t="shared" si="1"/>
        <v>1.087474033728314E-2</v>
      </c>
      <c r="D27">
        <f t="shared" si="0"/>
        <v>0.10965363173427169</v>
      </c>
      <c r="E27">
        <f t="shared" si="0"/>
        <v>7.616925585346726E-2</v>
      </c>
      <c r="F27">
        <f t="shared" si="0"/>
        <v>5.1869198914969111E-7</v>
      </c>
    </row>
    <row r="28" spans="2:21" x14ac:dyDescent="0.25">
      <c r="B28" s="52">
        <f t="shared" si="2"/>
        <v>6</v>
      </c>
      <c r="C28">
        <f t="shared" si="1"/>
        <v>8.1086955549402439E-3</v>
      </c>
      <c r="D28">
        <f t="shared" si="0"/>
        <v>9.7304346659282934E-2</v>
      </c>
      <c r="E28">
        <f t="shared" si="0"/>
        <v>8.4015677870770411E-2</v>
      </c>
      <c r="F28">
        <f t="shared" si="0"/>
        <v>1.365764351001487E-6</v>
      </c>
    </row>
    <row r="29" spans="2:21" x14ac:dyDescent="0.25">
      <c r="B29" s="52">
        <f t="shared" si="2"/>
        <v>6.5</v>
      </c>
      <c r="C29">
        <f t="shared" si="1"/>
        <v>6.0673119025767344E-3</v>
      </c>
      <c r="D29">
        <f t="shared" si="0"/>
        <v>8.544797596128903E-2</v>
      </c>
      <c r="E29">
        <f t="shared" si="0"/>
        <v>9.0122896311996464E-2</v>
      </c>
      <c r="F29">
        <f t="shared" si="0"/>
        <v>3.2619074885449244E-6</v>
      </c>
    </row>
    <row r="30" spans="2:21" x14ac:dyDescent="0.25">
      <c r="B30" s="52">
        <f t="shared" si="2"/>
        <v>7</v>
      </c>
      <c r="C30">
        <f t="shared" si="1"/>
        <v>4.5533429216401732E-3</v>
      </c>
      <c r="D30">
        <f t="shared" si="0"/>
        <v>7.4371267720122813E-2</v>
      </c>
      <c r="E30">
        <f t="shared" si="0"/>
        <v>9.4406142704409821E-2</v>
      </c>
      <c r="F30">
        <f t="shared" si="0"/>
        <v>7.1694127937997707E-6</v>
      </c>
    </row>
    <row r="31" spans="2:21" x14ac:dyDescent="0.25">
      <c r="B31" s="52">
        <f t="shared" si="2"/>
        <v>7.5</v>
      </c>
      <c r="C31">
        <f t="shared" si="1"/>
        <v>3.4259035101394828E-3</v>
      </c>
      <c r="D31">
        <f t="shared" si="0"/>
        <v>6.4235690815115279E-2</v>
      </c>
      <c r="E31">
        <f t="shared" si="0"/>
        <v>9.6890127275428159E-2</v>
      </c>
      <c r="F31">
        <f t="shared" si="0"/>
        <v>1.4668817092095687E-5</v>
      </c>
    </row>
    <row r="32" spans="2:21" ht="15.75" thickBot="1" x14ac:dyDescent="0.3">
      <c r="B32" s="52">
        <f t="shared" si="2"/>
        <v>8</v>
      </c>
      <c r="C32">
        <f t="shared" si="1"/>
        <v>2.5833731692615066E-3</v>
      </c>
      <c r="D32">
        <f t="shared" si="1"/>
        <v>5.511196094424544E-2</v>
      </c>
      <c r="E32">
        <f t="shared" si="1"/>
        <v>9.7683407406582323E-2</v>
      </c>
      <c r="F32">
        <f t="shared" si="1"/>
        <v>2.8198343930310267E-5</v>
      </c>
    </row>
    <row r="33" spans="2:10" x14ac:dyDescent="0.25">
      <c r="B33" s="52">
        <f t="shared" si="2"/>
        <v>8.5</v>
      </c>
      <c r="C33">
        <f t="shared" si="1"/>
        <v>1.9518617565225447E-3</v>
      </c>
      <c r="D33">
        <f t="shared" si="1"/>
        <v>4.7007337302917958E-2</v>
      </c>
      <c r="E33">
        <f t="shared" si="1"/>
        <v>9.6953375676556569E-2</v>
      </c>
      <c r="F33">
        <f t="shared" si="1"/>
        <v>5.1316275125678344E-5</v>
      </c>
      <c r="H33" s="26"/>
      <c r="I33" s="26" t="s">
        <v>254</v>
      </c>
      <c r="J33" s="26" t="s">
        <v>255</v>
      </c>
    </row>
    <row r="34" spans="2:10" x14ac:dyDescent="0.25">
      <c r="B34" s="52">
        <f t="shared" si="2"/>
        <v>9</v>
      </c>
      <c r="C34">
        <f t="shared" si="1"/>
        <v>1.4772828039793355E-3</v>
      </c>
      <c r="D34">
        <f t="shared" si="1"/>
        <v>3.988663570744206E-2</v>
      </c>
      <c r="E34">
        <f t="shared" si="1"/>
        <v>9.4903810270062214E-2</v>
      </c>
      <c r="F34">
        <f t="shared" si="1"/>
        <v>8.8963462304390755E-5</v>
      </c>
      <c r="H34" s="27" t="s">
        <v>81</v>
      </c>
      <c r="I34" s="27">
        <f>3+12/5</f>
        <v>5.4</v>
      </c>
      <c r="J34" s="27">
        <f>3+ 12/10</f>
        <v>4.2</v>
      </c>
    </row>
    <row r="35" spans="2:10" x14ac:dyDescent="0.25">
      <c r="B35" s="52">
        <f t="shared" si="2"/>
        <v>9.5</v>
      </c>
      <c r="C35">
        <f t="shared" si="1"/>
        <v>1.1198232344578794E-3</v>
      </c>
      <c r="D35">
        <f t="shared" si="1"/>
        <v>3.3688015636607886E-2</v>
      </c>
      <c r="E35">
        <f t="shared" si="1"/>
        <v>9.1755987187978866E-2</v>
      </c>
      <c r="F35">
        <f t="shared" si="1"/>
        <v>1.4769758627383015E-4</v>
      </c>
      <c r="H35" s="406" t="s">
        <v>82</v>
      </c>
      <c r="I35" s="406">
        <f>2^1.5/SQRT(5)</f>
        <v>1.2649110640673515</v>
      </c>
      <c r="J35" s="406">
        <f>2^1.5/SQRT(10)</f>
        <v>0.89442719099991574</v>
      </c>
    </row>
    <row r="36" spans="2:10" x14ac:dyDescent="0.25">
      <c r="B36" s="52">
        <f t="shared" si="2"/>
        <v>10</v>
      </c>
      <c r="C36">
        <f t="shared" si="1"/>
        <v>8.5003666025203423E-4</v>
      </c>
      <c r="D36">
        <f t="shared" si="1"/>
        <v>2.8334555341734478E-2</v>
      </c>
      <c r="E36">
        <f t="shared" si="1"/>
        <v>8.773368488392537E-2</v>
      </c>
      <c r="F36">
        <f t="shared" si="1"/>
        <v>2.3586815148161517E-4</v>
      </c>
    </row>
    <row r="37" spans="2:10" x14ac:dyDescent="0.25">
      <c r="B37" s="52">
        <f t="shared" si="2"/>
        <v>10.5</v>
      </c>
      <c r="C37">
        <f t="shared" si="1"/>
        <v>6.4605484281517439E-4</v>
      </c>
      <c r="D37">
        <f t="shared" si="1"/>
        <v>2.3742515473457661E-2</v>
      </c>
      <c r="E37">
        <f t="shared" si="1"/>
        <v>8.3051971499934485E-2</v>
      </c>
      <c r="F37">
        <f t="shared" si="1"/>
        <v>3.6370215133629049E-4</v>
      </c>
    </row>
    <row r="38" spans="2:10" x14ac:dyDescent="0.25">
      <c r="B38" s="52">
        <f t="shared" si="2"/>
        <v>11</v>
      </c>
      <c r="C38">
        <f t="shared" si="1"/>
        <v>4.9157985005762153E-4</v>
      </c>
      <c r="D38">
        <f t="shared" si="1"/>
        <v>1.9827053952324078E-2</v>
      </c>
      <c r="E38">
        <f t="shared" si="1"/>
        <v>7.7909401862698457E-2</v>
      </c>
      <c r="F38">
        <f t="shared" si="1"/>
        <v>5.4327491774697504E-4</v>
      </c>
    </row>
    <row r="39" spans="2:10" x14ac:dyDescent="0.25">
      <c r="B39" s="52">
        <f t="shared" si="2"/>
        <v>11.5</v>
      </c>
      <c r="C39">
        <f t="shared" si="1"/>
        <v>3.744276176879148E-4</v>
      </c>
      <c r="D39">
        <f t="shared" si="1"/>
        <v>1.650601747974224E-2</v>
      </c>
      <c r="E39">
        <f t="shared" si="1"/>
        <v>7.2483118560877427E-2</v>
      </c>
      <c r="F39">
        <f t="shared" si="1"/>
        <v>7.8834842985415631E-4</v>
      </c>
    </row>
    <row r="40" spans="2:10" x14ac:dyDescent="0.25">
      <c r="B40" s="52">
        <f t="shared" si="2"/>
        <v>12</v>
      </c>
      <c r="C40">
        <f t="shared" si="1"/>
        <v>2.85464791675855E-4</v>
      </c>
      <c r="D40">
        <f t="shared" si="1"/>
        <v>1.3702310000441044E-2</v>
      </c>
      <c r="E40">
        <f t="shared" si="1"/>
        <v>6.6926308769991699E-2</v>
      </c>
      <c r="F40">
        <f t="shared" si="1"/>
        <v>1.1140694526804355E-3</v>
      </c>
    </row>
    <row r="41" spans="2:10" x14ac:dyDescent="0.25">
      <c r="B41" s="52">
        <f t="shared" si="2"/>
        <v>12.5</v>
      </c>
      <c r="C41">
        <f t="shared" si="1"/>
        <v>2.17828423035271E-4</v>
      </c>
      <c r="D41">
        <f t="shared" si="1"/>
        <v>1.1345230366420366E-2</v>
      </c>
      <c r="E41">
        <f t="shared" si="1"/>
        <v>6.1367484290685968E-2</v>
      </c>
      <c r="F41">
        <f t="shared" si="1"/>
        <v>1.5365311998272934E-3</v>
      </c>
    </row>
    <row r="42" spans="2:10" x14ac:dyDescent="0.25">
      <c r="B42" s="52">
        <f t="shared" si="2"/>
        <v>13</v>
      </c>
      <c r="C42">
        <f t="shared" si="1"/>
        <v>1.6635055620285903E-4</v>
      </c>
      <c r="D42">
        <f t="shared" si="1"/>
        <v>9.3710813327610581E-3</v>
      </c>
      <c r="E42">
        <f t="shared" si="1"/>
        <v>5.5911102591969346E-2</v>
      </c>
      <c r="F42">
        <f t="shared" si="1"/>
        <v>2.072213567712318E-3</v>
      </c>
    </row>
    <row r="43" spans="2:10" x14ac:dyDescent="0.25">
      <c r="B43" s="52">
        <f t="shared" si="2"/>
        <v>13.5</v>
      </c>
      <c r="C43">
        <f t="shared" si="1"/>
        <v>1.271321608565569E-4</v>
      </c>
      <c r="D43">
        <f t="shared" si="1"/>
        <v>7.7232787720358312E-3</v>
      </c>
      <c r="E43">
        <f t="shared" si="1"/>
        <v>5.0639114302806203E-2</v>
      </c>
      <c r="F43">
        <f t="shared" si="1"/>
        <v>2.7373272388784143E-3</v>
      </c>
    </row>
    <row r="44" spans="2:10" x14ac:dyDescent="0.25">
      <c r="B44" s="52">
        <f t="shared" si="2"/>
        <v>14</v>
      </c>
      <c r="C44">
        <f t="shared" si="1"/>
        <v>9.7226505045914372E-5</v>
      </c>
      <c r="D44">
        <f t="shared" si="1"/>
        <v>6.3521316629997363E-3</v>
      </c>
      <c r="E44">
        <f t="shared" si="1"/>
        <v>4.561309581867487E-2</v>
      </c>
      <c r="F44">
        <f t="shared" si="1"/>
        <v>3.5470951554621008E-3</v>
      </c>
    </row>
    <row r="45" spans="2:10" x14ac:dyDescent="0.25">
      <c r="B45" s="52">
        <f t="shared" si="2"/>
        <v>14.5</v>
      </c>
      <c r="C45">
        <f t="shared" si="1"/>
        <v>7.4403106875490743E-5</v>
      </c>
      <c r="D45">
        <f t="shared" si="1"/>
        <v>5.214417740190643E-3</v>
      </c>
      <c r="E45">
        <f t="shared" si="1"/>
        <v>4.0876696933182535E-2</v>
      </c>
      <c r="F45">
        <f t="shared" si="1"/>
        <v>4.5150103526663413E-3</v>
      </c>
    </row>
    <row r="46" spans="2:10" x14ac:dyDescent="0.25">
      <c r="B46" s="52">
        <f t="shared" si="2"/>
        <v>15</v>
      </c>
      <c r="C46">
        <f t="shared" si="1"/>
        <v>5.6971259661427418E-5</v>
      </c>
      <c r="D46">
        <f t="shared" si="1"/>
        <v>4.2728444746070555E-3</v>
      </c>
      <c r="E46">
        <f t="shared" si="1"/>
        <v>3.6458198227518335E-2</v>
      </c>
      <c r="F46">
        <f t="shared" si="1"/>
        <v>5.6521115628370153E-3</v>
      </c>
    </row>
    <row r="47" spans="2:10" x14ac:dyDescent="0.25">
      <c r="B47" s="52">
        <f t="shared" si="2"/>
        <v>15.5</v>
      </c>
      <c r="C47">
        <f t="shared" si="1"/>
        <v>4.3647762144189506E-5</v>
      </c>
      <c r="D47">
        <f t="shared" si="1"/>
        <v>3.4954582850471741E-3</v>
      </c>
      <c r="E47">
        <f t="shared" si="1"/>
        <v>3.2373029119059205E-2</v>
      </c>
      <c r="F47">
        <f t="shared" si="1"/>
        <v>6.9663173144708474E-3</v>
      </c>
    </row>
    <row r="48" spans="2:10" x14ac:dyDescent="0.25">
      <c r="B48" s="52">
        <f t="shared" si="2"/>
        <v>16</v>
      </c>
      <c r="C48">
        <f t="shared" si="1"/>
        <v>3.3457556441221335E-5</v>
      </c>
      <c r="D48">
        <f t="shared" si="1"/>
        <v>2.8550448163175528E-3</v>
      </c>
      <c r="E48">
        <f t="shared" si="1"/>
        <v>2.8626144247681014E-2</v>
      </c>
      <c r="F48">
        <f t="shared" si="1"/>
        <v>8.461855697926424E-3</v>
      </c>
    </row>
    <row r="49" spans="2:6" x14ac:dyDescent="0.25">
      <c r="B49" s="52">
        <f t="shared" si="2"/>
        <v>16.5</v>
      </c>
      <c r="C49">
        <f t="shared" si="1"/>
        <v>2.5658934493672183E-5</v>
      </c>
      <c r="D49">
        <f t="shared" si="1"/>
        <v>2.328548305300751E-3</v>
      </c>
      <c r="E49">
        <f t="shared" si="1"/>
        <v>2.5214193484191967E-2</v>
      </c>
      <c r="F49">
        <f t="shared" si="1"/>
        <v>1.0138821013405646E-2</v>
      </c>
    </row>
    <row r="50" spans="2:6" x14ac:dyDescent="0.25">
      <c r="B50" s="52">
        <f t="shared" si="2"/>
        <v>17</v>
      </c>
      <c r="C50">
        <f t="shared" si="1"/>
        <v>1.9687134527509615E-5</v>
      </c>
      <c r="D50">
        <f t="shared" si="1"/>
        <v>1.8965272928167607E-3</v>
      </c>
      <c r="E50">
        <f t="shared" si="1"/>
        <v>2.2127450062679709E-2</v>
      </c>
      <c r="F50">
        <f t="shared" si="1"/>
        <v>1.1992880770764573E-2</v>
      </c>
    </row>
    <row r="51" spans="2:6" x14ac:dyDescent="0.25">
      <c r="B51" s="52">
        <f t="shared" si="2"/>
        <v>17.5</v>
      </c>
      <c r="C51">
        <f t="shared" si="1"/>
        <v>1.5111734848619759E-5</v>
      </c>
      <c r="D51">
        <f t="shared" si="1"/>
        <v>1.5426562657966016E-3</v>
      </c>
      <c r="E51">
        <f t="shared" si="1"/>
        <v>1.9351483235825539E-2</v>
      </c>
      <c r="F51">
        <f t="shared" si="1"/>
        <v>1.401514766618263E-2</v>
      </c>
    </row>
    <row r="52" spans="2:6" x14ac:dyDescent="0.25">
      <c r="B52" s="52">
        <f t="shared" si="2"/>
        <v>18</v>
      </c>
      <c r="C52">
        <f t="shared" si="1"/>
        <v>1.1604420995562321E-5</v>
      </c>
      <c r="D52">
        <f t="shared" si="1"/>
        <v>1.2532774675207297E-3</v>
      </c>
      <c r="E52">
        <f t="shared" si="1"/>
        <v>1.686857759609801E-2</v>
      </c>
      <c r="F52">
        <f t="shared" si="1"/>
        <v>1.6192221917503927E-2</v>
      </c>
    </row>
    <row r="53" spans="2:6" x14ac:dyDescent="0.25">
      <c r="B53" s="52">
        <f t="shared" si="2"/>
        <v>18.5</v>
      </c>
      <c r="C53">
        <f t="shared" si="1"/>
        <v>8.9145668075170811E-6</v>
      </c>
      <c r="D53">
        <f t="shared" si="1"/>
        <v>1.0170034966242405E-3</v>
      </c>
      <c r="E53">
        <f t="shared" si="1"/>
        <v>1.4658911941653285E-2</v>
      </c>
      <c r="F53">
        <f t="shared" si="1"/>
        <v>1.8506400348280421E-2</v>
      </c>
    </row>
    <row r="54" spans="2:6" x14ac:dyDescent="0.25">
      <c r="B54" s="52">
        <f t="shared" si="2"/>
        <v>19</v>
      </c>
      <c r="C54">
        <f t="shared" si="1"/>
        <v>6.8507116348430993E-6</v>
      </c>
      <c r="D54">
        <f t="shared" si="1"/>
        <v>8.2436896672611931E-4</v>
      </c>
      <c r="E54">
        <f t="shared" si="1"/>
        <v>1.2701517347389361E-2</v>
      </c>
      <c r="F54">
        <f t="shared" si="1"/>
        <v>2.0936040426336948E-2</v>
      </c>
    </row>
    <row r="55" spans="2:6" x14ac:dyDescent="0.25">
      <c r="B55" s="52">
        <f t="shared" si="2"/>
        <v>19.5</v>
      </c>
      <c r="C55">
        <f t="shared" si="1"/>
        <v>5.2664936100556295E-6</v>
      </c>
      <c r="D55">
        <f t="shared" si="1"/>
        <v>6.6752806507455113E-4</v>
      </c>
      <c r="E55">
        <f t="shared" si="1"/>
        <v>1.0975037854508863E-2</v>
      </c>
      <c r="F55">
        <f t="shared" si="1"/>
        <v>2.3456060519275412E-2</v>
      </c>
    </row>
    <row r="56" spans="2:6" x14ac:dyDescent="0.25">
      <c r="B56" s="52">
        <f t="shared" si="2"/>
        <v>20</v>
      </c>
      <c r="C56">
        <f t="shared" si="1"/>
        <v>4.049955478044558E-6</v>
      </c>
      <c r="D56">
        <f t="shared" si="1"/>
        <v>5.3999406373927451E-4</v>
      </c>
      <c r="E56">
        <f t="shared" si="1"/>
        <v>9.4583187005176789E-3</v>
      </c>
      <c r="F56">
        <f t="shared" si="1"/>
        <v>2.6038552223013031E-2</v>
      </c>
    </row>
    <row r="57" spans="2:6" x14ac:dyDescent="0.25">
      <c r="B57" s="52">
        <f t="shared" si="2"/>
        <v>20.5</v>
      </c>
      <c r="C57">
        <f t="shared" si="1"/>
        <v>3.1154063142276254E-6</v>
      </c>
      <c r="D57">
        <f t="shared" si="1"/>
        <v>4.364165011847201E-4</v>
      </c>
      <c r="E57">
        <f t="shared" si="1"/>
        <v>8.1308469206181136E-3</v>
      </c>
      <c r="F57">
        <f t="shared" si="1"/>
        <v>2.8653476908645181E-2</v>
      </c>
    </row>
    <row r="58" spans="2:6" x14ac:dyDescent="0.25">
      <c r="B58" s="52">
        <f t="shared" si="2"/>
        <v>21</v>
      </c>
      <c r="C58">
        <f t="shared" ref="C58:F66" si="3">$B58^(C$11-1)/(EXP($B58/2)*C$13)</f>
        <v>2.3972225728510397E-6</v>
      </c>
      <c r="D58">
        <f t="shared" si="3"/>
        <v>3.5239171820910289E-4</v>
      </c>
      <c r="E58">
        <f t="shared" si="3"/>
        <v>6.9730679765471074E-3</v>
      </c>
      <c r="F58">
        <f t="shared" si="3"/>
        <v>3.1269416648032858E-2</v>
      </c>
    </row>
    <row r="59" spans="2:6" x14ac:dyDescent="0.25">
      <c r="B59" s="52">
        <f t="shared" si="2"/>
        <v>21.5</v>
      </c>
      <c r="C59">
        <f t="shared" si="3"/>
        <v>1.8451222900996885E-6</v>
      </c>
      <c r="D59">
        <f t="shared" si="3"/>
        <v>2.843025928661937E-4</v>
      </c>
      <c r="E59">
        <f t="shared" si="3"/>
        <v>5.9666002114390753E-3</v>
      </c>
      <c r="F59">
        <f t="shared" si="3"/>
        <v>3.3854349339468265E-2</v>
      </c>
    </row>
    <row r="60" spans="2:6" x14ac:dyDescent="0.25">
      <c r="B60" s="52">
        <f t="shared" si="2"/>
        <v>22</v>
      </c>
      <c r="C60">
        <f t="shared" si="3"/>
        <v>1.4205594857744214E-6</v>
      </c>
      <c r="D60">
        <f t="shared" si="3"/>
        <v>2.2918359703827341E-4</v>
      </c>
      <c r="E60">
        <f t="shared" si="3"/>
        <v>5.0943666931247238E-3</v>
      </c>
      <c r="F60">
        <f t="shared" si="3"/>
        <v>3.6376418993475629E-2</v>
      </c>
    </row>
    <row r="61" spans="2:6" x14ac:dyDescent="0.25">
      <c r="B61" s="52">
        <f t="shared" si="2"/>
        <v>22.5</v>
      </c>
      <c r="C61">
        <f t="shared" si="3"/>
        <v>1.0939711911524848E-6</v>
      </c>
      <c r="D61">
        <f t="shared" si="3"/>
        <v>1.8460763850698179E-4</v>
      </c>
      <c r="E61">
        <f t="shared" si="3"/>
        <v>4.3406616164315629E-3</v>
      </c>
      <c r="F61">
        <f t="shared" si="3"/>
        <v>3.880467452378384E-2</v>
      </c>
    </row>
    <row r="62" spans="2:6" x14ac:dyDescent="0.25">
      <c r="B62" s="52">
        <f t="shared" si="2"/>
        <v>23</v>
      </c>
      <c r="C62">
        <f t="shared" si="3"/>
        <v>8.4267402248654239E-7</v>
      </c>
      <c r="D62">
        <f t="shared" si="3"/>
        <v>1.4859151929846027E-4</v>
      </c>
      <c r="E62">
        <f t="shared" si="3"/>
        <v>3.691166045227106E-3</v>
      </c>
      <c r="F62">
        <f t="shared" si="3"/>
        <v>4.1109753749477083E-2</v>
      </c>
    </row>
    <row r="63" spans="2:6" x14ac:dyDescent="0.25">
      <c r="B63" s="52">
        <f t="shared" si="2"/>
        <v>23.5</v>
      </c>
      <c r="C63">
        <f t="shared" si="3"/>
        <v>6.4925600080124926E-7</v>
      </c>
      <c r="D63">
        <f t="shared" si="3"/>
        <v>1.195172088141633E-4</v>
      </c>
      <c r="E63">
        <f t="shared" si="3"/>
        <v>3.1329254933363622E-3</v>
      </c>
      <c r="F63">
        <f t="shared" si="3"/>
        <v>4.3264493364934244E-2</v>
      </c>
    </row>
    <row r="64" spans="2:6" x14ac:dyDescent="0.25">
      <c r="B64" s="52">
        <f t="shared" si="2"/>
        <v>24</v>
      </c>
      <c r="C64">
        <f t="shared" si="3"/>
        <v>5.0034626491685239E-7</v>
      </c>
      <c r="D64">
        <f t="shared" si="3"/>
        <v>9.6066482864035687E-5</v>
      </c>
      <c r="E64">
        <f t="shared" si="3"/>
        <v>2.6542997366377869E-3</v>
      </c>
      <c r="F64">
        <f t="shared" si="3"/>
        <v>4.5244450091649076E-2</v>
      </c>
    </row>
    <row r="65" spans="2:6" x14ac:dyDescent="0.25">
      <c r="B65" s="52">
        <f t="shared" si="2"/>
        <v>24.5</v>
      </c>
      <c r="C65">
        <f t="shared" si="3"/>
        <v>3.8567334124177013E-7</v>
      </c>
      <c r="D65">
        <f t="shared" si="3"/>
        <v>7.7166807693457539E-5</v>
      </c>
      <c r="E65">
        <f t="shared" si="3"/>
        <v>2.2448933534556241E-3</v>
      </c>
      <c r="F65">
        <f t="shared" si="3"/>
        <v>4.7028322827086293E-2</v>
      </c>
    </row>
    <row r="66" spans="2:6" x14ac:dyDescent="0.25">
      <c r="B66" s="52">
        <f t="shared" si="2"/>
        <v>25</v>
      </c>
      <c r="C66">
        <f t="shared" si="3"/>
        <v>2.9734390294685955E-7</v>
      </c>
      <c r="D66">
        <f t="shared" si="3"/>
        <v>6.1946646447262371E-5</v>
      </c>
      <c r="E66">
        <f t="shared" si="3"/>
        <v>1.8954738220614987E-3</v>
      </c>
      <c r="F66">
        <f t="shared" si="3"/>
        <v>4.859827011828978E-2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9"/>
  <dimension ref="A1:T103"/>
  <sheetViews>
    <sheetView workbookViewId="0">
      <selection activeCell="J19" sqref="J19"/>
    </sheetView>
  </sheetViews>
  <sheetFormatPr defaultRowHeight="15" x14ac:dyDescent="0.25"/>
  <cols>
    <col min="12" max="12" width="7" style="78" customWidth="1"/>
    <col min="14" max="14" width="6.140625" style="21" customWidth="1"/>
    <col min="15" max="15" width="9.140625" customWidth="1"/>
    <col min="17" max="17" width="7" style="78" customWidth="1"/>
    <col min="19" max="19" width="6.140625" style="21" customWidth="1"/>
    <col min="20" max="20" width="9.140625" customWidth="1"/>
  </cols>
  <sheetData>
    <row r="1" spans="1:20" x14ac:dyDescent="0.25">
      <c r="A1" s="19" t="s">
        <v>28</v>
      </c>
      <c r="B1" s="19" t="s">
        <v>29</v>
      </c>
      <c r="L1" s="534" t="s">
        <v>28</v>
      </c>
      <c r="M1" s="492" t="s">
        <v>29</v>
      </c>
      <c r="N1" s="535" t="s">
        <v>1483</v>
      </c>
      <c r="O1" s="492" t="s">
        <v>1484</v>
      </c>
      <c r="Q1" s="534" t="s">
        <v>28</v>
      </c>
      <c r="R1" s="492" t="s">
        <v>29</v>
      </c>
      <c r="S1" s="535" t="s">
        <v>1483</v>
      </c>
      <c r="T1" s="492" t="s">
        <v>1484</v>
      </c>
    </row>
    <row r="2" spans="1:20" x14ac:dyDescent="0.25">
      <c r="A2" s="52">
        <v>0</v>
      </c>
      <c r="B2" t="e">
        <f ca="1">CHISQ_DIST(A2,10,FALSE)</f>
        <v>#NAME?</v>
      </c>
      <c r="L2" s="78">
        <v>0.125</v>
      </c>
      <c r="M2" t="e">
        <f ca="1">CHISQ_DIST(L2,10,FALSE)</f>
        <v>#NAME?</v>
      </c>
      <c r="N2" s="21">
        <v>0.25</v>
      </c>
      <c r="O2" t="e">
        <f ca="1">M2*N2</f>
        <v>#NAME?</v>
      </c>
      <c r="Q2" s="78">
        <v>2.5000000000000001E-2</v>
      </c>
      <c r="R2" t="e">
        <f ca="1">CHISQ_DIST(Q2,10,FALSE)</f>
        <v>#NAME?</v>
      </c>
      <c r="S2" s="21">
        <v>0.05</v>
      </c>
      <c r="T2" t="e">
        <f ca="1">R2*S2</f>
        <v>#NAME?</v>
      </c>
    </row>
    <row r="3" spans="1:20" x14ac:dyDescent="0.25">
      <c r="A3" s="52">
        <f>A2+0.5</f>
        <v>0.5</v>
      </c>
      <c r="B3" t="e">
        <f ca="1">CHISQ_DIST(A3,10,FALSE)</f>
        <v>#NAME?</v>
      </c>
      <c r="L3" s="78">
        <v>0.5</v>
      </c>
      <c r="M3" t="e">
        <f ca="1">CHISQ_DIST(L3,10,FALSE)</f>
        <v>#NAME?</v>
      </c>
      <c r="N3" s="21">
        <v>0.5</v>
      </c>
      <c r="O3" t="e">
        <f t="shared" ref="O3:O22" ca="1" si="0">M3*N3</f>
        <v>#NAME?</v>
      </c>
      <c r="Q3" s="78">
        <v>0.1</v>
      </c>
      <c r="R3" t="e">
        <f ca="1">CHISQ_DIST(Q3,10,FALSE)</f>
        <v>#NAME?</v>
      </c>
      <c r="S3" s="21">
        <v>0.1</v>
      </c>
      <c r="T3" t="e">
        <f t="shared" ref="T3:T66" ca="1" si="1">R3*S3</f>
        <v>#NAME?</v>
      </c>
    </row>
    <row r="4" spans="1:20" x14ac:dyDescent="0.25">
      <c r="A4" s="52">
        <f t="shared" ref="A4:A52" si="2">A3+0.5</f>
        <v>1</v>
      </c>
      <c r="B4" t="e">
        <f ca="1">CHISQ_DIST(A4,10,FALSE)</f>
        <v>#NAME?</v>
      </c>
      <c r="L4" s="78">
        <f t="shared" ref="L4:L21" si="3">L3+0.5</f>
        <v>1</v>
      </c>
      <c r="M4" t="e">
        <f ca="1">CHISQ_DIST(L4,10,FALSE)</f>
        <v>#NAME?</v>
      </c>
      <c r="N4" s="21">
        <v>0.5</v>
      </c>
      <c r="O4" t="e">
        <f t="shared" ca="1" si="0"/>
        <v>#NAME?</v>
      </c>
      <c r="Q4" s="78">
        <f>Q3+0.1</f>
        <v>0.2</v>
      </c>
      <c r="R4" t="e">
        <f ca="1">CHISQ_DIST(Q4,10,FALSE)</f>
        <v>#NAME?</v>
      </c>
      <c r="S4" s="21">
        <v>0.1</v>
      </c>
      <c r="T4" t="e">
        <f t="shared" ca="1" si="1"/>
        <v>#NAME?</v>
      </c>
    </row>
    <row r="5" spans="1:20" x14ac:dyDescent="0.25">
      <c r="A5" s="52">
        <f t="shared" si="2"/>
        <v>1.5</v>
      </c>
      <c r="B5" t="e">
        <f ca="1">CHISQ_DIST(A5,10,FALSE)</f>
        <v>#NAME?</v>
      </c>
      <c r="L5" s="78">
        <f t="shared" si="3"/>
        <v>1.5</v>
      </c>
      <c r="M5" t="e">
        <f ca="1">CHISQ_DIST(L5,10,FALSE)</f>
        <v>#NAME?</v>
      </c>
      <c r="N5" s="21">
        <v>0.5</v>
      </c>
      <c r="O5" t="e">
        <f t="shared" ca="1" si="0"/>
        <v>#NAME?</v>
      </c>
      <c r="Q5" s="78">
        <f t="shared" ref="Q5:Q68" si="4">Q4+0.1</f>
        <v>0.30000000000000004</v>
      </c>
      <c r="R5" t="e">
        <f ca="1">CHISQ_DIST(Q5,10,FALSE)</f>
        <v>#NAME?</v>
      </c>
      <c r="S5" s="21">
        <v>0.1</v>
      </c>
      <c r="T5" t="e">
        <f t="shared" ca="1" si="1"/>
        <v>#NAME?</v>
      </c>
    </row>
    <row r="6" spans="1:20" x14ac:dyDescent="0.25">
      <c r="A6" s="52">
        <f t="shared" si="2"/>
        <v>2</v>
      </c>
      <c r="B6" t="e">
        <f ca="1">CHISQ_DIST(A6,10,FALSE)</f>
        <v>#NAME?</v>
      </c>
      <c r="L6" s="78">
        <f t="shared" si="3"/>
        <v>2</v>
      </c>
      <c r="M6" t="e">
        <f ca="1">CHISQ_DIST(L6,10,FALSE)</f>
        <v>#NAME?</v>
      </c>
      <c r="N6" s="21">
        <v>0.5</v>
      </c>
      <c r="O6" t="e">
        <f t="shared" ca="1" si="0"/>
        <v>#NAME?</v>
      </c>
      <c r="Q6" s="78">
        <f t="shared" si="4"/>
        <v>0.4</v>
      </c>
      <c r="R6" t="e">
        <f ca="1">CHISQ_DIST(Q6,10,FALSE)</f>
        <v>#NAME?</v>
      </c>
      <c r="S6" s="21">
        <v>0.1</v>
      </c>
      <c r="T6" t="e">
        <f t="shared" ca="1" si="1"/>
        <v>#NAME?</v>
      </c>
    </row>
    <row r="7" spans="1:20" x14ac:dyDescent="0.25">
      <c r="A7" s="52">
        <f t="shared" si="2"/>
        <v>2.5</v>
      </c>
      <c r="B7" t="e">
        <f ca="1">CHISQ_DIST(A7,10,FALSE)</f>
        <v>#NAME?</v>
      </c>
      <c r="L7" s="78">
        <f t="shared" si="3"/>
        <v>2.5</v>
      </c>
      <c r="M7" t="e">
        <f ca="1">CHISQ_DIST(L7,10,FALSE)</f>
        <v>#NAME?</v>
      </c>
      <c r="N7" s="21">
        <v>0.5</v>
      </c>
      <c r="O7" t="e">
        <f t="shared" ca="1" si="0"/>
        <v>#NAME?</v>
      </c>
      <c r="Q7" s="78">
        <f t="shared" si="4"/>
        <v>0.5</v>
      </c>
      <c r="R7" t="e">
        <f ca="1">CHISQ_DIST(Q7,10,FALSE)</f>
        <v>#NAME?</v>
      </c>
      <c r="S7" s="21">
        <v>0.1</v>
      </c>
      <c r="T7" t="e">
        <f t="shared" ca="1" si="1"/>
        <v>#NAME?</v>
      </c>
    </row>
    <row r="8" spans="1:20" x14ac:dyDescent="0.25">
      <c r="A8" s="52">
        <f t="shared" si="2"/>
        <v>3</v>
      </c>
      <c r="B8" t="e">
        <f ca="1">CHISQ_DIST(A8,10,FALSE)</f>
        <v>#NAME?</v>
      </c>
      <c r="L8" s="78">
        <f t="shared" si="3"/>
        <v>3</v>
      </c>
      <c r="M8" t="e">
        <f ca="1">CHISQ_DIST(L8,10,FALSE)</f>
        <v>#NAME?</v>
      </c>
      <c r="N8" s="21">
        <v>0.5</v>
      </c>
      <c r="O8" t="e">
        <f t="shared" ca="1" si="0"/>
        <v>#NAME?</v>
      </c>
      <c r="Q8" s="78">
        <f t="shared" si="4"/>
        <v>0.6</v>
      </c>
      <c r="R8" t="e">
        <f ca="1">CHISQ_DIST(Q8,10,FALSE)</f>
        <v>#NAME?</v>
      </c>
      <c r="S8" s="21">
        <v>0.1</v>
      </c>
      <c r="T8" t="e">
        <f t="shared" ca="1" si="1"/>
        <v>#NAME?</v>
      </c>
    </row>
    <row r="9" spans="1:20" x14ac:dyDescent="0.25">
      <c r="A9" s="52">
        <f t="shared" si="2"/>
        <v>3.5</v>
      </c>
      <c r="B9" t="e">
        <f ca="1">CHISQ_DIST(A9,10,FALSE)</f>
        <v>#NAME?</v>
      </c>
      <c r="L9" s="78">
        <f t="shared" si="3"/>
        <v>3.5</v>
      </c>
      <c r="M9" t="e">
        <f ca="1">CHISQ_DIST(L9,10,FALSE)</f>
        <v>#NAME?</v>
      </c>
      <c r="N9" s="21">
        <v>0.5</v>
      </c>
      <c r="O9" t="e">
        <f t="shared" ca="1" si="0"/>
        <v>#NAME?</v>
      </c>
      <c r="Q9" s="78">
        <f t="shared" si="4"/>
        <v>0.7</v>
      </c>
      <c r="R9" t="e">
        <f ca="1">CHISQ_DIST(Q9,10,FALSE)</f>
        <v>#NAME?</v>
      </c>
      <c r="S9" s="21">
        <v>0.1</v>
      </c>
      <c r="T9" t="e">
        <f t="shared" ca="1" si="1"/>
        <v>#NAME?</v>
      </c>
    </row>
    <row r="10" spans="1:20" x14ac:dyDescent="0.25">
      <c r="A10" s="52">
        <f t="shared" si="2"/>
        <v>4</v>
      </c>
      <c r="B10" t="e">
        <f ca="1">CHISQ_DIST(A10,10,FALSE)</f>
        <v>#NAME?</v>
      </c>
      <c r="L10" s="78">
        <f t="shared" si="3"/>
        <v>4</v>
      </c>
      <c r="M10" t="e">
        <f ca="1">CHISQ_DIST(L10,10,FALSE)</f>
        <v>#NAME?</v>
      </c>
      <c r="N10" s="21">
        <v>0.5</v>
      </c>
      <c r="O10" t="e">
        <f t="shared" ca="1" si="0"/>
        <v>#NAME?</v>
      </c>
      <c r="Q10" s="78">
        <f t="shared" si="4"/>
        <v>0.79999999999999993</v>
      </c>
      <c r="R10" t="e">
        <f ca="1">CHISQ_DIST(Q10,10,FALSE)</f>
        <v>#NAME?</v>
      </c>
      <c r="S10" s="21">
        <v>0.1</v>
      </c>
      <c r="T10" t="e">
        <f t="shared" ca="1" si="1"/>
        <v>#NAME?</v>
      </c>
    </row>
    <row r="11" spans="1:20" x14ac:dyDescent="0.25">
      <c r="A11" s="52">
        <f t="shared" si="2"/>
        <v>4.5</v>
      </c>
      <c r="B11" t="e">
        <f ca="1">CHISQ_DIST(A11,10,FALSE)</f>
        <v>#NAME?</v>
      </c>
      <c r="L11" s="78">
        <f t="shared" si="3"/>
        <v>4.5</v>
      </c>
      <c r="M11" t="e">
        <f ca="1">CHISQ_DIST(L11,10,FALSE)</f>
        <v>#NAME?</v>
      </c>
      <c r="N11" s="21">
        <v>0.5</v>
      </c>
      <c r="O11" t="e">
        <f t="shared" ca="1" si="0"/>
        <v>#NAME?</v>
      </c>
      <c r="Q11" s="78">
        <f t="shared" si="4"/>
        <v>0.89999999999999991</v>
      </c>
      <c r="R11" t="e">
        <f ca="1">CHISQ_DIST(Q11,10,FALSE)</f>
        <v>#NAME?</v>
      </c>
      <c r="S11" s="21">
        <v>0.1</v>
      </c>
      <c r="T11" t="e">
        <f t="shared" ca="1" si="1"/>
        <v>#NAME?</v>
      </c>
    </row>
    <row r="12" spans="1:20" x14ac:dyDescent="0.25">
      <c r="A12" s="52">
        <f t="shared" si="2"/>
        <v>5</v>
      </c>
      <c r="B12" t="e">
        <f ca="1">CHISQ_DIST(A12,10,FALSE)</f>
        <v>#NAME?</v>
      </c>
      <c r="L12" s="78">
        <f t="shared" si="3"/>
        <v>5</v>
      </c>
      <c r="M12" t="e">
        <f ca="1">CHISQ_DIST(L12,10,FALSE)</f>
        <v>#NAME?</v>
      </c>
      <c r="N12" s="21">
        <v>0.5</v>
      </c>
      <c r="O12" t="e">
        <f t="shared" ca="1" si="0"/>
        <v>#NAME?</v>
      </c>
      <c r="Q12" s="78">
        <f t="shared" si="4"/>
        <v>0.99999999999999989</v>
      </c>
      <c r="R12" t="e">
        <f ca="1">CHISQ_DIST(Q12,10,FALSE)</f>
        <v>#NAME?</v>
      </c>
      <c r="S12" s="21">
        <v>0.1</v>
      </c>
      <c r="T12" t="e">
        <f t="shared" ca="1" si="1"/>
        <v>#NAME?</v>
      </c>
    </row>
    <row r="13" spans="1:20" x14ac:dyDescent="0.25">
      <c r="A13" s="52">
        <f t="shared" si="2"/>
        <v>5.5</v>
      </c>
      <c r="B13" t="e">
        <f ca="1">CHISQ_DIST(A13,10,FALSE)</f>
        <v>#NAME?</v>
      </c>
      <c r="L13" s="78">
        <f t="shared" si="3"/>
        <v>5.5</v>
      </c>
      <c r="M13" t="e">
        <f ca="1">CHISQ_DIST(L13,10,FALSE)</f>
        <v>#NAME?</v>
      </c>
      <c r="N13" s="21">
        <v>0.5</v>
      </c>
      <c r="O13" t="e">
        <f t="shared" ca="1" si="0"/>
        <v>#NAME?</v>
      </c>
      <c r="Q13" s="78">
        <f t="shared" si="4"/>
        <v>1.0999999999999999</v>
      </c>
      <c r="R13" t="e">
        <f ca="1">CHISQ_DIST(Q13,10,FALSE)</f>
        <v>#NAME?</v>
      </c>
      <c r="S13" s="21">
        <v>0.1</v>
      </c>
      <c r="T13" t="e">
        <f t="shared" ca="1" si="1"/>
        <v>#NAME?</v>
      </c>
    </row>
    <row r="14" spans="1:20" x14ac:dyDescent="0.25">
      <c r="A14" s="52">
        <f t="shared" si="2"/>
        <v>6</v>
      </c>
      <c r="B14" t="e">
        <f ca="1">CHISQ_DIST(A14,10,FALSE)</f>
        <v>#NAME?</v>
      </c>
      <c r="L14" s="78">
        <f t="shared" si="3"/>
        <v>6</v>
      </c>
      <c r="M14" t="e">
        <f ca="1">CHISQ_DIST(L14,10,FALSE)</f>
        <v>#NAME?</v>
      </c>
      <c r="N14" s="21">
        <v>0.5</v>
      </c>
      <c r="O14" t="e">
        <f t="shared" ca="1" si="0"/>
        <v>#NAME?</v>
      </c>
      <c r="Q14" s="78">
        <f t="shared" si="4"/>
        <v>1.2</v>
      </c>
      <c r="R14" t="e">
        <f ca="1">CHISQ_DIST(Q14,10,FALSE)</f>
        <v>#NAME?</v>
      </c>
      <c r="S14" s="21">
        <v>0.1</v>
      </c>
      <c r="T14" t="e">
        <f t="shared" ca="1" si="1"/>
        <v>#NAME?</v>
      </c>
    </row>
    <row r="15" spans="1:20" x14ac:dyDescent="0.25">
      <c r="A15" s="52">
        <f t="shared" si="2"/>
        <v>6.5</v>
      </c>
      <c r="B15" t="e">
        <f ca="1">CHISQ_DIST(A15,10,FALSE)</f>
        <v>#NAME?</v>
      </c>
      <c r="L15" s="78">
        <f t="shared" si="3"/>
        <v>6.5</v>
      </c>
      <c r="M15" t="e">
        <f ca="1">CHISQ_DIST(L15,10,FALSE)</f>
        <v>#NAME?</v>
      </c>
      <c r="N15" s="21">
        <v>0.5</v>
      </c>
      <c r="O15" t="e">
        <f t="shared" ca="1" si="0"/>
        <v>#NAME?</v>
      </c>
      <c r="Q15" s="78">
        <f t="shared" si="4"/>
        <v>1.3</v>
      </c>
      <c r="R15" t="e">
        <f ca="1">CHISQ_DIST(Q15,10,FALSE)</f>
        <v>#NAME?</v>
      </c>
      <c r="S15" s="21">
        <v>0.1</v>
      </c>
      <c r="T15" t="e">
        <f t="shared" ca="1" si="1"/>
        <v>#NAME?</v>
      </c>
    </row>
    <row r="16" spans="1:20" x14ac:dyDescent="0.25">
      <c r="A16" s="52">
        <f t="shared" si="2"/>
        <v>7</v>
      </c>
      <c r="B16" t="e">
        <f ca="1">CHISQ_DIST(A16,10,FALSE)</f>
        <v>#NAME?</v>
      </c>
      <c r="L16" s="78">
        <f t="shared" si="3"/>
        <v>7</v>
      </c>
      <c r="M16" t="e">
        <f ca="1">CHISQ_DIST(L16,10,FALSE)</f>
        <v>#NAME?</v>
      </c>
      <c r="N16" s="21">
        <v>0.5</v>
      </c>
      <c r="O16" t="e">
        <f t="shared" ca="1" si="0"/>
        <v>#NAME?</v>
      </c>
      <c r="Q16" s="78">
        <f t="shared" si="4"/>
        <v>1.4000000000000001</v>
      </c>
      <c r="R16" t="e">
        <f ca="1">CHISQ_DIST(Q16,10,FALSE)</f>
        <v>#NAME?</v>
      </c>
      <c r="S16" s="21">
        <v>0.1</v>
      </c>
      <c r="T16" t="e">
        <f t="shared" ca="1" si="1"/>
        <v>#NAME?</v>
      </c>
    </row>
    <row r="17" spans="1:20" x14ac:dyDescent="0.25">
      <c r="A17" s="52">
        <f t="shared" si="2"/>
        <v>7.5</v>
      </c>
      <c r="B17" t="e">
        <f ca="1">CHISQ_DIST(A17,10,FALSE)</f>
        <v>#NAME?</v>
      </c>
      <c r="L17" s="78">
        <f t="shared" si="3"/>
        <v>7.5</v>
      </c>
      <c r="M17" t="e">
        <f ca="1">CHISQ_DIST(L17,10,FALSE)</f>
        <v>#NAME?</v>
      </c>
      <c r="N17" s="21">
        <v>0.5</v>
      </c>
      <c r="O17" t="e">
        <f t="shared" ca="1" si="0"/>
        <v>#NAME?</v>
      </c>
      <c r="Q17" s="78">
        <f t="shared" si="4"/>
        <v>1.5000000000000002</v>
      </c>
      <c r="R17" t="e">
        <f ca="1">CHISQ_DIST(Q17,10,FALSE)</f>
        <v>#NAME?</v>
      </c>
      <c r="S17" s="21">
        <v>0.1</v>
      </c>
      <c r="T17" t="e">
        <f t="shared" ca="1" si="1"/>
        <v>#NAME?</v>
      </c>
    </row>
    <row r="18" spans="1:20" x14ac:dyDescent="0.25">
      <c r="A18" s="52">
        <f t="shared" si="2"/>
        <v>8</v>
      </c>
      <c r="B18" t="e">
        <f ca="1">CHISQ_DIST(A18,10,FALSE)</f>
        <v>#NAME?</v>
      </c>
      <c r="L18" s="78">
        <f t="shared" si="3"/>
        <v>8</v>
      </c>
      <c r="M18" t="e">
        <f ca="1">CHISQ_DIST(L18,10,FALSE)</f>
        <v>#NAME?</v>
      </c>
      <c r="N18" s="21">
        <v>0.5</v>
      </c>
      <c r="O18" t="e">
        <f t="shared" ca="1" si="0"/>
        <v>#NAME?</v>
      </c>
      <c r="Q18" s="78">
        <f t="shared" si="4"/>
        <v>1.6000000000000003</v>
      </c>
      <c r="R18" t="e">
        <f ca="1">CHISQ_DIST(Q18,10,FALSE)</f>
        <v>#NAME?</v>
      </c>
      <c r="S18" s="21">
        <v>0.1</v>
      </c>
      <c r="T18" t="e">
        <f t="shared" ca="1" si="1"/>
        <v>#NAME?</v>
      </c>
    </row>
    <row r="19" spans="1:20" x14ac:dyDescent="0.25">
      <c r="A19" s="52">
        <f t="shared" si="2"/>
        <v>8.5</v>
      </c>
      <c r="B19" t="e">
        <f ca="1">CHISQ_DIST(A19,10,FALSE)</f>
        <v>#NAME?</v>
      </c>
      <c r="L19" s="78">
        <f t="shared" si="3"/>
        <v>8.5</v>
      </c>
      <c r="M19" t="e">
        <f ca="1">CHISQ_DIST(L19,10,FALSE)</f>
        <v>#NAME?</v>
      </c>
      <c r="N19" s="21">
        <v>0.5</v>
      </c>
      <c r="O19" t="e">
        <f t="shared" ca="1" si="0"/>
        <v>#NAME?</v>
      </c>
      <c r="Q19" s="78">
        <f t="shared" si="4"/>
        <v>1.7000000000000004</v>
      </c>
      <c r="R19" t="e">
        <f ca="1">CHISQ_DIST(Q19,10,FALSE)</f>
        <v>#NAME?</v>
      </c>
      <c r="S19" s="21">
        <v>0.1</v>
      </c>
      <c r="T19" t="e">
        <f t="shared" ca="1" si="1"/>
        <v>#NAME?</v>
      </c>
    </row>
    <row r="20" spans="1:20" x14ac:dyDescent="0.25">
      <c r="A20" s="52">
        <f t="shared" si="2"/>
        <v>9</v>
      </c>
      <c r="B20" t="e">
        <f ca="1">CHISQ_DIST(A20,10,FALSE)</f>
        <v>#NAME?</v>
      </c>
      <c r="L20" s="78">
        <f t="shared" si="3"/>
        <v>9</v>
      </c>
      <c r="M20" t="e">
        <f ca="1">CHISQ_DIST(L20,10,FALSE)</f>
        <v>#NAME?</v>
      </c>
      <c r="N20" s="21">
        <v>0.5</v>
      </c>
      <c r="O20" t="e">
        <f t="shared" ca="1" si="0"/>
        <v>#NAME?</v>
      </c>
      <c r="Q20" s="78">
        <f t="shared" si="4"/>
        <v>1.8000000000000005</v>
      </c>
      <c r="R20" t="e">
        <f ca="1">CHISQ_DIST(Q20,10,FALSE)</f>
        <v>#NAME?</v>
      </c>
      <c r="S20" s="21">
        <v>0.1</v>
      </c>
      <c r="T20" t="e">
        <f t="shared" ca="1" si="1"/>
        <v>#NAME?</v>
      </c>
    </row>
    <row r="21" spans="1:20" x14ac:dyDescent="0.25">
      <c r="A21" s="52">
        <f t="shared" si="2"/>
        <v>9.5</v>
      </c>
      <c r="B21" t="e">
        <f ca="1">CHISQ_DIST(A21,10,FALSE)</f>
        <v>#NAME?</v>
      </c>
      <c r="L21" s="78">
        <f t="shared" si="3"/>
        <v>9.5</v>
      </c>
      <c r="M21" t="e">
        <f ca="1">CHISQ_DIST(L21,10,FALSE)</f>
        <v>#NAME?</v>
      </c>
      <c r="N21" s="21">
        <v>0.5</v>
      </c>
      <c r="O21" t="e">
        <f t="shared" ca="1" si="0"/>
        <v>#NAME?</v>
      </c>
      <c r="Q21" s="78">
        <f t="shared" si="4"/>
        <v>1.9000000000000006</v>
      </c>
      <c r="R21" t="e">
        <f ca="1">CHISQ_DIST(Q21,10,FALSE)</f>
        <v>#NAME?</v>
      </c>
      <c r="S21" s="21">
        <v>0.1</v>
      </c>
      <c r="T21" t="e">
        <f t="shared" ca="1" si="1"/>
        <v>#NAME?</v>
      </c>
    </row>
    <row r="22" spans="1:20" x14ac:dyDescent="0.25">
      <c r="A22" s="52">
        <f t="shared" si="2"/>
        <v>10</v>
      </c>
      <c r="B22" t="e">
        <f ca="1">CHISQ_DIST(A22,10,FALSE)</f>
        <v>#NAME?</v>
      </c>
      <c r="L22" s="409">
        <v>9.875</v>
      </c>
      <c r="M22" s="276" t="e">
        <f ca="1">CHISQ_DIST(L22,10,FALSE)</f>
        <v>#NAME?</v>
      </c>
      <c r="N22" s="536">
        <v>0.5</v>
      </c>
      <c r="O22" s="276" t="e">
        <f t="shared" ca="1" si="0"/>
        <v>#NAME?</v>
      </c>
      <c r="Q22" s="78">
        <f t="shared" si="4"/>
        <v>2.0000000000000004</v>
      </c>
      <c r="R22" s="8" t="e">
        <f ca="1">CHISQ_DIST(Q22,10,FALSE)</f>
        <v>#NAME?</v>
      </c>
      <c r="S22" s="77">
        <v>0.1</v>
      </c>
      <c r="T22" s="8" t="e">
        <f t="shared" ca="1" si="1"/>
        <v>#NAME?</v>
      </c>
    </row>
    <row r="23" spans="1:20" x14ac:dyDescent="0.25">
      <c r="A23" s="52">
        <f t="shared" si="2"/>
        <v>10.5</v>
      </c>
      <c r="B23" t="e">
        <f ca="1">CHISQ_DIST(A23,10,FALSE)</f>
        <v>#NAME?</v>
      </c>
      <c r="L23"/>
      <c r="N23"/>
      <c r="O23" s="54" t="e">
        <f ca="1">SUM(O2:O22)</f>
        <v>#NAME?</v>
      </c>
      <c r="Q23" s="78">
        <f t="shared" si="4"/>
        <v>2.1000000000000005</v>
      </c>
      <c r="R23" s="8" t="e">
        <f ca="1">CHISQ_DIST(Q23,10,FALSE)</f>
        <v>#NAME?</v>
      </c>
      <c r="S23" s="77">
        <v>0.1</v>
      </c>
      <c r="T23" s="8" t="e">
        <f t="shared" ca="1" si="1"/>
        <v>#NAME?</v>
      </c>
    </row>
    <row r="24" spans="1:20" x14ac:dyDescent="0.25">
      <c r="A24" s="52">
        <f t="shared" si="2"/>
        <v>11</v>
      </c>
      <c r="B24" t="e">
        <f ca="1">CHISQ_DIST(A24,10,FALSE)</f>
        <v>#NAME?</v>
      </c>
      <c r="L24"/>
      <c r="N24"/>
      <c r="Q24" s="78">
        <f t="shared" si="4"/>
        <v>2.2000000000000006</v>
      </c>
      <c r="R24" s="8" t="e">
        <f ca="1">CHISQ_DIST(Q24,10,FALSE)</f>
        <v>#NAME?</v>
      </c>
      <c r="S24" s="77">
        <v>0.1</v>
      </c>
      <c r="T24" s="8" t="e">
        <f t="shared" ca="1" si="1"/>
        <v>#NAME?</v>
      </c>
    </row>
    <row r="25" spans="1:20" x14ac:dyDescent="0.25">
      <c r="A25" s="52">
        <f t="shared" si="2"/>
        <v>11.5</v>
      </c>
      <c r="B25" t="e">
        <f ca="1">CHISQ_DIST(A25,10,FALSE)</f>
        <v>#NAME?</v>
      </c>
      <c r="L25"/>
      <c r="N25"/>
      <c r="O25">
        <f>_xlfn.CHISQ.DIST(10,10,TRUE)</f>
        <v>0.55950671493478765</v>
      </c>
      <c r="Q25" s="78">
        <f t="shared" si="4"/>
        <v>2.3000000000000007</v>
      </c>
      <c r="R25" s="8" t="e">
        <f ca="1">CHISQ_DIST(Q25,10,FALSE)</f>
        <v>#NAME?</v>
      </c>
      <c r="S25" s="77">
        <v>0.1</v>
      </c>
      <c r="T25" s="8" t="e">
        <f t="shared" ca="1" si="1"/>
        <v>#NAME?</v>
      </c>
    </row>
    <row r="26" spans="1:20" x14ac:dyDescent="0.25">
      <c r="A26" s="52">
        <f t="shared" si="2"/>
        <v>12</v>
      </c>
      <c r="B26" t="e">
        <f ca="1">CHISQ_DIST(A26,10,FALSE)</f>
        <v>#NAME?</v>
      </c>
      <c r="L26"/>
      <c r="N26"/>
      <c r="Q26" s="78">
        <f t="shared" si="4"/>
        <v>2.4000000000000008</v>
      </c>
      <c r="R26" s="8" t="e">
        <f ca="1">CHISQ_DIST(Q26,10,FALSE)</f>
        <v>#NAME?</v>
      </c>
      <c r="S26" s="77">
        <v>0.1</v>
      </c>
      <c r="T26" s="8" t="e">
        <f t="shared" ca="1" si="1"/>
        <v>#NAME?</v>
      </c>
    </row>
    <row r="27" spans="1:20" x14ac:dyDescent="0.25">
      <c r="A27" s="52">
        <f t="shared" si="2"/>
        <v>12.5</v>
      </c>
      <c r="B27" t="e">
        <f ca="1">CHISQ_DIST(A27,10,FALSE)</f>
        <v>#NAME?</v>
      </c>
      <c r="Q27" s="78">
        <f t="shared" si="4"/>
        <v>2.5000000000000009</v>
      </c>
      <c r="R27" s="8" t="e">
        <f ca="1">CHISQ_DIST(Q27,10,FALSE)</f>
        <v>#NAME?</v>
      </c>
      <c r="S27" s="77">
        <v>0.1</v>
      </c>
      <c r="T27" s="8" t="e">
        <f t="shared" ca="1" si="1"/>
        <v>#NAME?</v>
      </c>
    </row>
    <row r="28" spans="1:20" x14ac:dyDescent="0.25">
      <c r="A28" s="52">
        <f t="shared" si="2"/>
        <v>13</v>
      </c>
      <c r="B28" t="e">
        <f ca="1">CHISQ_DIST(A28,10,FALSE)</f>
        <v>#NAME?</v>
      </c>
      <c r="Q28" s="78">
        <f t="shared" si="4"/>
        <v>2.600000000000001</v>
      </c>
      <c r="R28" s="8" t="e">
        <f ca="1">CHISQ_DIST(Q28,10,FALSE)</f>
        <v>#NAME?</v>
      </c>
      <c r="S28" s="77">
        <v>0.1</v>
      </c>
      <c r="T28" s="8" t="e">
        <f t="shared" ca="1" si="1"/>
        <v>#NAME?</v>
      </c>
    </row>
    <row r="29" spans="1:20" x14ac:dyDescent="0.25">
      <c r="A29" s="52">
        <f t="shared" si="2"/>
        <v>13.5</v>
      </c>
      <c r="B29" t="e">
        <f ca="1">CHISQ_DIST(A29,10,FALSE)</f>
        <v>#NAME?</v>
      </c>
      <c r="Q29" s="78">
        <f t="shared" si="4"/>
        <v>2.7000000000000011</v>
      </c>
      <c r="R29" s="8" t="e">
        <f ca="1">CHISQ_DIST(Q29,10,FALSE)</f>
        <v>#NAME?</v>
      </c>
      <c r="S29" s="77">
        <v>0.1</v>
      </c>
      <c r="T29" s="8" t="e">
        <f t="shared" ca="1" si="1"/>
        <v>#NAME?</v>
      </c>
    </row>
    <row r="30" spans="1:20" x14ac:dyDescent="0.25">
      <c r="A30" s="52">
        <f t="shared" si="2"/>
        <v>14</v>
      </c>
      <c r="B30" t="e">
        <f ca="1">CHISQ_DIST(A30,10,FALSE)</f>
        <v>#NAME?</v>
      </c>
      <c r="Q30" s="78">
        <f t="shared" si="4"/>
        <v>2.8000000000000012</v>
      </c>
      <c r="R30" s="8" t="e">
        <f ca="1">CHISQ_DIST(Q30,10,FALSE)</f>
        <v>#NAME?</v>
      </c>
      <c r="S30" s="77">
        <v>0.1</v>
      </c>
      <c r="T30" s="8" t="e">
        <f t="shared" ca="1" si="1"/>
        <v>#NAME?</v>
      </c>
    </row>
    <row r="31" spans="1:20" x14ac:dyDescent="0.25">
      <c r="A31" s="52">
        <f t="shared" si="2"/>
        <v>14.5</v>
      </c>
      <c r="B31" t="e">
        <f ca="1">CHISQ_DIST(A31,10,FALSE)</f>
        <v>#NAME?</v>
      </c>
      <c r="Q31" s="78">
        <f t="shared" si="4"/>
        <v>2.9000000000000012</v>
      </c>
      <c r="R31" s="8" t="e">
        <f ca="1">CHISQ_DIST(Q31,10,FALSE)</f>
        <v>#NAME?</v>
      </c>
      <c r="S31" s="77">
        <v>0.1</v>
      </c>
      <c r="T31" s="8" t="e">
        <f t="shared" ca="1" si="1"/>
        <v>#NAME?</v>
      </c>
    </row>
    <row r="32" spans="1:20" x14ac:dyDescent="0.25">
      <c r="A32" s="52">
        <f t="shared" si="2"/>
        <v>15</v>
      </c>
      <c r="B32" t="e">
        <f ca="1">CHISQ_DIST(A32,10,FALSE)</f>
        <v>#NAME?</v>
      </c>
      <c r="Q32" s="78">
        <f t="shared" si="4"/>
        <v>3.0000000000000013</v>
      </c>
      <c r="R32" s="8" t="e">
        <f ca="1">CHISQ_DIST(Q32,10,FALSE)</f>
        <v>#NAME?</v>
      </c>
      <c r="S32" s="77">
        <v>0.1</v>
      </c>
      <c r="T32" s="8" t="e">
        <f t="shared" ca="1" si="1"/>
        <v>#NAME?</v>
      </c>
    </row>
    <row r="33" spans="1:20" x14ac:dyDescent="0.25">
      <c r="A33" s="52">
        <f t="shared" si="2"/>
        <v>15.5</v>
      </c>
      <c r="B33" t="e">
        <f ca="1">CHISQ_DIST(A33,10,FALSE)</f>
        <v>#NAME?</v>
      </c>
      <c r="Q33" s="78">
        <f t="shared" si="4"/>
        <v>3.1000000000000014</v>
      </c>
      <c r="R33" s="8" t="e">
        <f ca="1">CHISQ_DIST(Q33,10,FALSE)</f>
        <v>#NAME?</v>
      </c>
      <c r="S33" s="77">
        <v>0.1</v>
      </c>
      <c r="T33" s="8" t="e">
        <f t="shared" ca="1" si="1"/>
        <v>#NAME?</v>
      </c>
    </row>
    <row r="34" spans="1:20" x14ac:dyDescent="0.25">
      <c r="A34" s="52">
        <f t="shared" si="2"/>
        <v>16</v>
      </c>
      <c r="B34" t="e">
        <f ca="1">CHISQ_DIST(A34,10,FALSE)</f>
        <v>#NAME?</v>
      </c>
      <c r="Q34" s="78">
        <f t="shared" si="4"/>
        <v>3.2000000000000015</v>
      </c>
      <c r="R34" s="8" t="e">
        <f ca="1">CHISQ_DIST(Q34,10,FALSE)</f>
        <v>#NAME?</v>
      </c>
      <c r="S34" s="77">
        <v>0.1</v>
      </c>
      <c r="T34" s="8" t="e">
        <f t="shared" ca="1" si="1"/>
        <v>#NAME?</v>
      </c>
    </row>
    <row r="35" spans="1:20" x14ac:dyDescent="0.25">
      <c r="A35" s="52">
        <f t="shared" si="2"/>
        <v>16.5</v>
      </c>
      <c r="B35" t="e">
        <f ca="1">CHISQ_DIST(A35,10,FALSE)</f>
        <v>#NAME?</v>
      </c>
      <c r="Q35" s="78">
        <f t="shared" si="4"/>
        <v>3.3000000000000016</v>
      </c>
      <c r="R35" s="8" t="e">
        <f ca="1">CHISQ_DIST(Q35,10,FALSE)</f>
        <v>#NAME?</v>
      </c>
      <c r="S35" s="77">
        <v>0.1</v>
      </c>
      <c r="T35" s="8" t="e">
        <f t="shared" ca="1" si="1"/>
        <v>#NAME?</v>
      </c>
    </row>
    <row r="36" spans="1:20" x14ac:dyDescent="0.25">
      <c r="A36" s="52">
        <f t="shared" si="2"/>
        <v>17</v>
      </c>
      <c r="B36" t="e">
        <f ca="1">CHISQ_DIST(A36,10,FALSE)</f>
        <v>#NAME?</v>
      </c>
      <c r="Q36" s="78">
        <f t="shared" si="4"/>
        <v>3.4000000000000017</v>
      </c>
      <c r="R36" s="8" t="e">
        <f ca="1">CHISQ_DIST(Q36,10,FALSE)</f>
        <v>#NAME?</v>
      </c>
      <c r="S36" s="77">
        <v>0.1</v>
      </c>
      <c r="T36" s="8" t="e">
        <f t="shared" ca="1" si="1"/>
        <v>#NAME?</v>
      </c>
    </row>
    <row r="37" spans="1:20" x14ac:dyDescent="0.25">
      <c r="A37" s="52">
        <f t="shared" si="2"/>
        <v>17.5</v>
      </c>
      <c r="B37" t="e">
        <f ca="1">CHISQ_DIST(A37,10,FALSE)</f>
        <v>#NAME?</v>
      </c>
      <c r="Q37" s="78">
        <f t="shared" si="4"/>
        <v>3.5000000000000018</v>
      </c>
      <c r="R37" s="8" t="e">
        <f ca="1">CHISQ_DIST(Q37,10,FALSE)</f>
        <v>#NAME?</v>
      </c>
      <c r="S37" s="77">
        <v>0.1</v>
      </c>
      <c r="T37" s="8" t="e">
        <f t="shared" ca="1" si="1"/>
        <v>#NAME?</v>
      </c>
    </row>
    <row r="38" spans="1:20" x14ac:dyDescent="0.25">
      <c r="A38" s="52">
        <f t="shared" si="2"/>
        <v>18</v>
      </c>
      <c r="B38" t="e">
        <f ca="1">CHISQ_DIST(A38,10,FALSE)</f>
        <v>#NAME?</v>
      </c>
      <c r="Q38" s="78">
        <f t="shared" si="4"/>
        <v>3.6000000000000019</v>
      </c>
      <c r="R38" s="8" t="e">
        <f ca="1">CHISQ_DIST(Q38,10,FALSE)</f>
        <v>#NAME?</v>
      </c>
      <c r="S38" s="77">
        <v>0.1</v>
      </c>
      <c r="T38" s="8" t="e">
        <f t="shared" ca="1" si="1"/>
        <v>#NAME?</v>
      </c>
    </row>
    <row r="39" spans="1:20" x14ac:dyDescent="0.25">
      <c r="A39" s="52">
        <f t="shared" si="2"/>
        <v>18.5</v>
      </c>
      <c r="B39" t="e">
        <f ca="1">CHISQ_DIST(A39,10,FALSE)</f>
        <v>#NAME?</v>
      </c>
      <c r="Q39" s="78">
        <f t="shared" si="4"/>
        <v>3.700000000000002</v>
      </c>
      <c r="R39" s="8" t="e">
        <f ca="1">CHISQ_DIST(Q39,10,FALSE)</f>
        <v>#NAME?</v>
      </c>
      <c r="S39" s="77">
        <v>0.1</v>
      </c>
      <c r="T39" s="8" t="e">
        <f t="shared" ca="1" si="1"/>
        <v>#NAME?</v>
      </c>
    </row>
    <row r="40" spans="1:20" x14ac:dyDescent="0.25">
      <c r="A40" s="52">
        <f t="shared" si="2"/>
        <v>19</v>
      </c>
      <c r="B40" t="e">
        <f ca="1">CHISQ_DIST(A40,10,FALSE)</f>
        <v>#NAME?</v>
      </c>
      <c r="Q40" s="78">
        <f t="shared" si="4"/>
        <v>3.800000000000002</v>
      </c>
      <c r="R40" s="8" t="e">
        <f ca="1">CHISQ_DIST(Q40,10,FALSE)</f>
        <v>#NAME?</v>
      </c>
      <c r="S40" s="77">
        <v>0.1</v>
      </c>
      <c r="T40" s="8" t="e">
        <f t="shared" ca="1" si="1"/>
        <v>#NAME?</v>
      </c>
    </row>
    <row r="41" spans="1:20" x14ac:dyDescent="0.25">
      <c r="A41" s="52">
        <f t="shared" si="2"/>
        <v>19.5</v>
      </c>
      <c r="B41" t="e">
        <f ca="1">CHISQ_DIST(A41,10,FALSE)</f>
        <v>#NAME?</v>
      </c>
      <c r="Q41" s="78">
        <f t="shared" si="4"/>
        <v>3.9000000000000021</v>
      </c>
      <c r="R41" s="8" t="e">
        <f ca="1">CHISQ_DIST(Q41,10,FALSE)</f>
        <v>#NAME?</v>
      </c>
      <c r="S41" s="77">
        <v>0.1</v>
      </c>
      <c r="T41" s="8" t="e">
        <f t="shared" ca="1" si="1"/>
        <v>#NAME?</v>
      </c>
    </row>
    <row r="42" spans="1:20" x14ac:dyDescent="0.25">
      <c r="A42" s="52">
        <f t="shared" si="2"/>
        <v>20</v>
      </c>
      <c r="B42" t="e">
        <f ca="1">CHISQ_DIST(A42,10,FALSE)</f>
        <v>#NAME?</v>
      </c>
      <c r="Q42" s="78">
        <f t="shared" si="4"/>
        <v>4.0000000000000018</v>
      </c>
      <c r="R42" s="8" t="e">
        <f ca="1">CHISQ_DIST(Q42,10,FALSE)</f>
        <v>#NAME?</v>
      </c>
      <c r="S42" s="77">
        <v>0.1</v>
      </c>
      <c r="T42" s="8" t="e">
        <f t="shared" ca="1" si="1"/>
        <v>#NAME?</v>
      </c>
    </row>
    <row r="43" spans="1:20" x14ac:dyDescent="0.25">
      <c r="A43" s="52">
        <f t="shared" si="2"/>
        <v>20.5</v>
      </c>
      <c r="B43" t="e">
        <f ca="1">CHISQ_DIST(A43,10,FALSE)</f>
        <v>#NAME?</v>
      </c>
      <c r="Q43" s="78">
        <f t="shared" si="4"/>
        <v>4.1000000000000014</v>
      </c>
      <c r="R43" s="8" t="e">
        <f ca="1">CHISQ_DIST(Q43,10,FALSE)</f>
        <v>#NAME?</v>
      </c>
      <c r="S43" s="77">
        <v>0.1</v>
      </c>
      <c r="T43" s="8" t="e">
        <f t="shared" ca="1" si="1"/>
        <v>#NAME?</v>
      </c>
    </row>
    <row r="44" spans="1:20" x14ac:dyDescent="0.25">
      <c r="A44" s="52">
        <f t="shared" si="2"/>
        <v>21</v>
      </c>
      <c r="B44" t="e">
        <f ca="1">CHISQ_DIST(A44,10,FALSE)</f>
        <v>#NAME?</v>
      </c>
      <c r="Q44" s="78">
        <f t="shared" si="4"/>
        <v>4.2000000000000011</v>
      </c>
      <c r="R44" s="8" t="e">
        <f ca="1">CHISQ_DIST(Q44,10,FALSE)</f>
        <v>#NAME?</v>
      </c>
      <c r="S44" s="77">
        <v>0.1</v>
      </c>
      <c r="T44" s="8" t="e">
        <f t="shared" ca="1" si="1"/>
        <v>#NAME?</v>
      </c>
    </row>
    <row r="45" spans="1:20" x14ac:dyDescent="0.25">
      <c r="A45" s="52">
        <f t="shared" si="2"/>
        <v>21.5</v>
      </c>
      <c r="B45" t="e">
        <f ca="1">CHISQ_DIST(A45,10,FALSE)</f>
        <v>#NAME?</v>
      </c>
      <c r="Q45" s="78">
        <f t="shared" si="4"/>
        <v>4.3000000000000007</v>
      </c>
      <c r="R45" s="8" t="e">
        <f ca="1">CHISQ_DIST(Q45,10,FALSE)</f>
        <v>#NAME?</v>
      </c>
      <c r="S45" s="77">
        <v>0.1</v>
      </c>
      <c r="T45" s="8" t="e">
        <f t="shared" ca="1" si="1"/>
        <v>#NAME?</v>
      </c>
    </row>
    <row r="46" spans="1:20" x14ac:dyDescent="0.25">
      <c r="A46" s="52">
        <f t="shared" si="2"/>
        <v>22</v>
      </c>
      <c r="B46" t="e">
        <f ca="1">CHISQ_DIST(A46,10,FALSE)</f>
        <v>#NAME?</v>
      </c>
      <c r="Q46" s="78">
        <f t="shared" si="4"/>
        <v>4.4000000000000004</v>
      </c>
      <c r="R46" s="8" t="e">
        <f ca="1">CHISQ_DIST(Q46,10,FALSE)</f>
        <v>#NAME?</v>
      </c>
      <c r="S46" s="77">
        <v>0.1</v>
      </c>
      <c r="T46" s="8" t="e">
        <f t="shared" ca="1" si="1"/>
        <v>#NAME?</v>
      </c>
    </row>
    <row r="47" spans="1:20" x14ac:dyDescent="0.25">
      <c r="A47" s="52">
        <f t="shared" si="2"/>
        <v>22.5</v>
      </c>
      <c r="B47" t="e">
        <f ca="1">CHISQ_DIST(A47,10,FALSE)</f>
        <v>#NAME?</v>
      </c>
      <c r="Q47" s="78">
        <f t="shared" si="4"/>
        <v>4.5</v>
      </c>
      <c r="R47" s="8" t="e">
        <f ca="1">CHISQ_DIST(Q47,10,FALSE)</f>
        <v>#NAME?</v>
      </c>
      <c r="S47" s="77">
        <v>0.1</v>
      </c>
      <c r="T47" s="8" t="e">
        <f t="shared" ca="1" si="1"/>
        <v>#NAME?</v>
      </c>
    </row>
    <row r="48" spans="1:20" x14ac:dyDescent="0.25">
      <c r="A48" s="52">
        <f t="shared" si="2"/>
        <v>23</v>
      </c>
      <c r="B48" t="e">
        <f ca="1">CHISQ_DIST(A48,10,FALSE)</f>
        <v>#NAME?</v>
      </c>
      <c r="Q48" s="78">
        <f t="shared" si="4"/>
        <v>4.5999999999999996</v>
      </c>
      <c r="R48" s="8" t="e">
        <f ca="1">CHISQ_DIST(Q48,10,FALSE)</f>
        <v>#NAME?</v>
      </c>
      <c r="S48" s="77">
        <v>0.1</v>
      </c>
      <c r="T48" s="8" t="e">
        <f t="shared" ca="1" si="1"/>
        <v>#NAME?</v>
      </c>
    </row>
    <row r="49" spans="1:20" x14ac:dyDescent="0.25">
      <c r="A49" s="52">
        <f t="shared" si="2"/>
        <v>23.5</v>
      </c>
      <c r="B49" t="e">
        <f ca="1">CHISQ_DIST(A49,10,FALSE)</f>
        <v>#NAME?</v>
      </c>
      <c r="Q49" s="78">
        <f t="shared" si="4"/>
        <v>4.6999999999999993</v>
      </c>
      <c r="R49" s="8" t="e">
        <f ca="1">CHISQ_DIST(Q49,10,FALSE)</f>
        <v>#NAME?</v>
      </c>
      <c r="S49" s="77">
        <v>0.1</v>
      </c>
      <c r="T49" s="8" t="e">
        <f t="shared" ca="1" si="1"/>
        <v>#NAME?</v>
      </c>
    </row>
    <row r="50" spans="1:20" x14ac:dyDescent="0.25">
      <c r="A50" s="52">
        <f t="shared" si="2"/>
        <v>24</v>
      </c>
      <c r="B50" t="e">
        <f ca="1">CHISQ_DIST(A50,10,FALSE)</f>
        <v>#NAME?</v>
      </c>
      <c r="Q50" s="78">
        <f t="shared" si="4"/>
        <v>4.7999999999999989</v>
      </c>
      <c r="R50" s="8" t="e">
        <f ca="1">CHISQ_DIST(Q50,10,FALSE)</f>
        <v>#NAME?</v>
      </c>
      <c r="S50" s="77">
        <v>0.1</v>
      </c>
      <c r="T50" s="8" t="e">
        <f t="shared" ca="1" si="1"/>
        <v>#NAME?</v>
      </c>
    </row>
    <row r="51" spans="1:20" x14ac:dyDescent="0.25">
      <c r="A51" s="52">
        <f t="shared" si="2"/>
        <v>24.5</v>
      </c>
      <c r="B51" t="e">
        <f ca="1">CHISQ_DIST(A51,10,FALSE)</f>
        <v>#NAME?</v>
      </c>
      <c r="Q51" s="78">
        <f t="shared" si="4"/>
        <v>4.8999999999999986</v>
      </c>
      <c r="R51" s="8" t="e">
        <f ca="1">CHISQ_DIST(Q51,10,FALSE)</f>
        <v>#NAME?</v>
      </c>
      <c r="S51" s="77">
        <v>0.1</v>
      </c>
      <c r="T51" s="8" t="e">
        <f t="shared" ca="1" si="1"/>
        <v>#NAME?</v>
      </c>
    </row>
    <row r="52" spans="1:20" x14ac:dyDescent="0.25">
      <c r="A52" s="52">
        <f t="shared" si="2"/>
        <v>25</v>
      </c>
      <c r="B52" t="e">
        <f ca="1">CHISQ_DIST(A52,10,FALSE)</f>
        <v>#NAME?</v>
      </c>
      <c r="Q52" s="78">
        <f t="shared" si="4"/>
        <v>4.9999999999999982</v>
      </c>
      <c r="R52" s="8" t="e">
        <f ca="1">CHISQ_DIST(Q52,10,FALSE)</f>
        <v>#NAME?</v>
      </c>
      <c r="S52" s="77">
        <v>0.1</v>
      </c>
      <c r="T52" s="8" t="e">
        <f t="shared" ca="1" si="1"/>
        <v>#NAME?</v>
      </c>
    </row>
    <row r="53" spans="1:20" x14ac:dyDescent="0.25">
      <c r="Q53" s="78">
        <f t="shared" si="4"/>
        <v>5.0999999999999979</v>
      </c>
      <c r="R53" s="8" t="e">
        <f ca="1">CHISQ_DIST(Q53,10,FALSE)</f>
        <v>#NAME?</v>
      </c>
      <c r="S53" s="77">
        <v>0.1</v>
      </c>
      <c r="T53" s="8" t="e">
        <f t="shared" ca="1" si="1"/>
        <v>#NAME?</v>
      </c>
    </row>
    <row r="54" spans="1:20" x14ac:dyDescent="0.25">
      <c r="Q54" s="78">
        <f t="shared" si="4"/>
        <v>5.1999999999999975</v>
      </c>
      <c r="R54" s="8" t="e">
        <f ca="1">CHISQ_DIST(Q54,10,FALSE)</f>
        <v>#NAME?</v>
      </c>
      <c r="S54" s="77">
        <v>0.1</v>
      </c>
      <c r="T54" s="8" t="e">
        <f t="shared" ca="1" si="1"/>
        <v>#NAME?</v>
      </c>
    </row>
    <row r="55" spans="1:20" x14ac:dyDescent="0.25">
      <c r="Q55" s="78">
        <f t="shared" si="4"/>
        <v>5.2999999999999972</v>
      </c>
      <c r="R55" s="8" t="e">
        <f ca="1">CHISQ_DIST(Q55,10,FALSE)</f>
        <v>#NAME?</v>
      </c>
      <c r="S55" s="77">
        <v>0.1</v>
      </c>
      <c r="T55" s="8" t="e">
        <f t="shared" ca="1" si="1"/>
        <v>#NAME?</v>
      </c>
    </row>
    <row r="56" spans="1:20" x14ac:dyDescent="0.25">
      <c r="Q56" s="78">
        <f t="shared" si="4"/>
        <v>5.3999999999999968</v>
      </c>
      <c r="R56" s="8" t="e">
        <f ca="1">CHISQ_DIST(Q56,10,FALSE)</f>
        <v>#NAME?</v>
      </c>
      <c r="S56" s="77">
        <v>0.1</v>
      </c>
      <c r="T56" s="8" t="e">
        <f t="shared" ca="1" si="1"/>
        <v>#NAME?</v>
      </c>
    </row>
    <row r="57" spans="1:20" x14ac:dyDescent="0.25">
      <c r="Q57" s="78">
        <f t="shared" si="4"/>
        <v>5.4999999999999964</v>
      </c>
      <c r="R57" s="8" t="e">
        <f ca="1">CHISQ_DIST(Q57,10,FALSE)</f>
        <v>#NAME?</v>
      </c>
      <c r="S57" s="77">
        <v>0.1</v>
      </c>
      <c r="T57" s="8" t="e">
        <f t="shared" ca="1" si="1"/>
        <v>#NAME?</v>
      </c>
    </row>
    <row r="58" spans="1:20" x14ac:dyDescent="0.25">
      <c r="Q58" s="78">
        <f t="shared" si="4"/>
        <v>5.5999999999999961</v>
      </c>
      <c r="R58" s="8" t="e">
        <f ca="1">CHISQ_DIST(Q58,10,FALSE)</f>
        <v>#NAME?</v>
      </c>
      <c r="S58" s="77">
        <v>0.1</v>
      </c>
      <c r="T58" s="8" t="e">
        <f t="shared" ca="1" si="1"/>
        <v>#NAME?</v>
      </c>
    </row>
    <row r="59" spans="1:20" x14ac:dyDescent="0.25">
      <c r="Q59" s="78">
        <f t="shared" si="4"/>
        <v>5.6999999999999957</v>
      </c>
      <c r="R59" s="8" t="e">
        <f ca="1">CHISQ_DIST(Q59,10,FALSE)</f>
        <v>#NAME?</v>
      </c>
      <c r="S59" s="77">
        <v>0.1</v>
      </c>
      <c r="T59" s="8" t="e">
        <f t="shared" ca="1" si="1"/>
        <v>#NAME?</v>
      </c>
    </row>
    <row r="60" spans="1:20" x14ac:dyDescent="0.25">
      <c r="Q60" s="78">
        <f t="shared" si="4"/>
        <v>5.7999999999999954</v>
      </c>
      <c r="R60" s="8" t="e">
        <f ca="1">CHISQ_DIST(Q60,10,FALSE)</f>
        <v>#NAME?</v>
      </c>
      <c r="S60" s="77">
        <v>0.1</v>
      </c>
      <c r="T60" s="8" t="e">
        <f t="shared" ca="1" si="1"/>
        <v>#NAME?</v>
      </c>
    </row>
    <row r="61" spans="1:20" x14ac:dyDescent="0.25">
      <c r="Q61" s="78">
        <f t="shared" si="4"/>
        <v>5.899999999999995</v>
      </c>
      <c r="R61" s="8" t="e">
        <f ca="1">CHISQ_DIST(Q61,10,FALSE)</f>
        <v>#NAME?</v>
      </c>
      <c r="S61" s="77">
        <v>0.1</v>
      </c>
      <c r="T61" s="8" t="e">
        <f t="shared" ca="1" si="1"/>
        <v>#NAME?</v>
      </c>
    </row>
    <row r="62" spans="1:20" x14ac:dyDescent="0.25">
      <c r="Q62" s="78">
        <f t="shared" si="4"/>
        <v>5.9999999999999947</v>
      </c>
      <c r="R62" s="8" t="e">
        <f ca="1">CHISQ_DIST(Q62,10,FALSE)</f>
        <v>#NAME?</v>
      </c>
      <c r="S62" s="77">
        <v>0.1</v>
      </c>
      <c r="T62" s="8" t="e">
        <f t="shared" ca="1" si="1"/>
        <v>#NAME?</v>
      </c>
    </row>
    <row r="63" spans="1:20" x14ac:dyDescent="0.25">
      <c r="Q63" s="78">
        <f t="shared" si="4"/>
        <v>6.0999999999999943</v>
      </c>
      <c r="R63" s="8" t="e">
        <f ca="1">CHISQ_DIST(Q63,10,FALSE)</f>
        <v>#NAME?</v>
      </c>
      <c r="S63" s="77">
        <v>0.1</v>
      </c>
      <c r="T63" s="8" t="e">
        <f t="shared" ca="1" si="1"/>
        <v>#NAME?</v>
      </c>
    </row>
    <row r="64" spans="1:20" x14ac:dyDescent="0.25">
      <c r="Q64" s="78">
        <f t="shared" si="4"/>
        <v>6.199999999999994</v>
      </c>
      <c r="R64" s="8" t="e">
        <f ca="1">CHISQ_DIST(Q64,10,FALSE)</f>
        <v>#NAME?</v>
      </c>
      <c r="S64" s="77">
        <v>0.1</v>
      </c>
      <c r="T64" s="8" t="e">
        <f t="shared" ca="1" si="1"/>
        <v>#NAME?</v>
      </c>
    </row>
    <row r="65" spans="17:20" x14ac:dyDescent="0.25">
      <c r="Q65" s="78">
        <f t="shared" si="4"/>
        <v>6.2999999999999936</v>
      </c>
      <c r="R65" s="8" t="e">
        <f ca="1">CHISQ_DIST(Q65,10,FALSE)</f>
        <v>#NAME?</v>
      </c>
      <c r="S65" s="77">
        <v>0.1</v>
      </c>
      <c r="T65" s="8" t="e">
        <f t="shared" ca="1" si="1"/>
        <v>#NAME?</v>
      </c>
    </row>
    <row r="66" spans="17:20" x14ac:dyDescent="0.25">
      <c r="Q66" s="78">
        <f t="shared" si="4"/>
        <v>6.3999999999999932</v>
      </c>
      <c r="R66" s="8" t="e">
        <f ca="1">CHISQ_DIST(Q66,10,FALSE)</f>
        <v>#NAME?</v>
      </c>
      <c r="S66" s="77">
        <v>0.1</v>
      </c>
      <c r="T66" s="8" t="e">
        <f t="shared" ca="1" si="1"/>
        <v>#NAME?</v>
      </c>
    </row>
    <row r="67" spans="17:20" x14ac:dyDescent="0.25">
      <c r="Q67" s="78">
        <f t="shared" si="4"/>
        <v>6.4999999999999929</v>
      </c>
      <c r="R67" s="8" t="e">
        <f ca="1">CHISQ_DIST(Q67,10,FALSE)</f>
        <v>#NAME?</v>
      </c>
      <c r="S67" s="77">
        <v>0.1</v>
      </c>
      <c r="T67" s="8" t="e">
        <f t="shared" ref="T67:T102" ca="1" si="5">R67*S67</f>
        <v>#NAME?</v>
      </c>
    </row>
    <row r="68" spans="17:20" x14ac:dyDescent="0.25">
      <c r="Q68" s="78">
        <f t="shared" si="4"/>
        <v>6.5999999999999925</v>
      </c>
      <c r="R68" s="8" t="e">
        <f ca="1">CHISQ_DIST(Q68,10,FALSE)</f>
        <v>#NAME?</v>
      </c>
      <c r="S68" s="77">
        <v>0.1</v>
      </c>
      <c r="T68" s="8" t="e">
        <f t="shared" ca="1" si="5"/>
        <v>#NAME?</v>
      </c>
    </row>
    <row r="69" spans="17:20" x14ac:dyDescent="0.25">
      <c r="Q69" s="78">
        <f t="shared" ref="Q69:Q101" si="6">Q68+0.1</f>
        <v>6.6999999999999922</v>
      </c>
      <c r="R69" s="8" t="e">
        <f ca="1">CHISQ_DIST(Q69,10,FALSE)</f>
        <v>#NAME?</v>
      </c>
      <c r="S69" s="77">
        <v>0.1</v>
      </c>
      <c r="T69" s="8" t="e">
        <f t="shared" ca="1" si="5"/>
        <v>#NAME?</v>
      </c>
    </row>
    <row r="70" spans="17:20" x14ac:dyDescent="0.25">
      <c r="Q70" s="78">
        <f t="shared" si="6"/>
        <v>6.7999999999999918</v>
      </c>
      <c r="R70" s="8" t="e">
        <f ca="1">CHISQ_DIST(Q70,10,FALSE)</f>
        <v>#NAME?</v>
      </c>
      <c r="S70" s="77">
        <v>0.1</v>
      </c>
      <c r="T70" s="8" t="e">
        <f t="shared" ca="1" si="5"/>
        <v>#NAME?</v>
      </c>
    </row>
    <row r="71" spans="17:20" x14ac:dyDescent="0.25">
      <c r="Q71" s="78">
        <f t="shared" si="6"/>
        <v>6.8999999999999915</v>
      </c>
      <c r="R71" s="8" t="e">
        <f ca="1">CHISQ_DIST(Q71,10,FALSE)</f>
        <v>#NAME?</v>
      </c>
      <c r="S71" s="77">
        <v>0.1</v>
      </c>
      <c r="T71" s="8" t="e">
        <f t="shared" ca="1" si="5"/>
        <v>#NAME?</v>
      </c>
    </row>
    <row r="72" spans="17:20" x14ac:dyDescent="0.25">
      <c r="Q72" s="78">
        <f t="shared" si="6"/>
        <v>6.9999999999999911</v>
      </c>
      <c r="R72" s="8" t="e">
        <f ca="1">CHISQ_DIST(Q72,10,FALSE)</f>
        <v>#NAME?</v>
      </c>
      <c r="S72" s="77">
        <v>0.1</v>
      </c>
      <c r="T72" s="8" t="e">
        <f t="shared" ca="1" si="5"/>
        <v>#NAME?</v>
      </c>
    </row>
    <row r="73" spans="17:20" x14ac:dyDescent="0.25">
      <c r="Q73" s="78">
        <f t="shared" si="6"/>
        <v>7.0999999999999908</v>
      </c>
      <c r="R73" s="8" t="e">
        <f ca="1">CHISQ_DIST(Q73,10,FALSE)</f>
        <v>#NAME?</v>
      </c>
      <c r="S73" s="77">
        <v>0.1</v>
      </c>
      <c r="T73" s="8" t="e">
        <f t="shared" ca="1" si="5"/>
        <v>#NAME?</v>
      </c>
    </row>
    <row r="74" spans="17:20" x14ac:dyDescent="0.25">
      <c r="Q74" s="78">
        <f t="shared" si="6"/>
        <v>7.1999999999999904</v>
      </c>
      <c r="R74" s="8" t="e">
        <f ca="1">CHISQ_DIST(Q74,10,FALSE)</f>
        <v>#NAME?</v>
      </c>
      <c r="S74" s="77">
        <v>0.1</v>
      </c>
      <c r="T74" s="8" t="e">
        <f t="shared" ca="1" si="5"/>
        <v>#NAME?</v>
      </c>
    </row>
    <row r="75" spans="17:20" x14ac:dyDescent="0.25">
      <c r="Q75" s="78">
        <f t="shared" si="6"/>
        <v>7.2999999999999901</v>
      </c>
      <c r="R75" s="8" t="e">
        <f ca="1">CHISQ_DIST(Q75,10,FALSE)</f>
        <v>#NAME?</v>
      </c>
      <c r="S75" s="77">
        <v>0.1</v>
      </c>
      <c r="T75" s="8" t="e">
        <f t="shared" ca="1" si="5"/>
        <v>#NAME?</v>
      </c>
    </row>
    <row r="76" spans="17:20" x14ac:dyDescent="0.25">
      <c r="Q76" s="78">
        <f t="shared" si="6"/>
        <v>7.3999999999999897</v>
      </c>
      <c r="R76" s="8" t="e">
        <f ca="1">CHISQ_DIST(Q76,10,FALSE)</f>
        <v>#NAME?</v>
      </c>
      <c r="S76" s="77">
        <v>0.1</v>
      </c>
      <c r="T76" s="8" t="e">
        <f t="shared" ca="1" si="5"/>
        <v>#NAME?</v>
      </c>
    </row>
    <row r="77" spans="17:20" x14ac:dyDescent="0.25">
      <c r="Q77" s="78">
        <f t="shared" si="6"/>
        <v>7.4999999999999893</v>
      </c>
      <c r="R77" s="8" t="e">
        <f ca="1">CHISQ_DIST(Q77,10,FALSE)</f>
        <v>#NAME?</v>
      </c>
      <c r="S77" s="77">
        <v>0.1</v>
      </c>
      <c r="T77" s="8" t="e">
        <f t="shared" ca="1" si="5"/>
        <v>#NAME?</v>
      </c>
    </row>
    <row r="78" spans="17:20" x14ac:dyDescent="0.25">
      <c r="Q78" s="78">
        <f t="shared" si="6"/>
        <v>7.599999999999989</v>
      </c>
      <c r="R78" s="8" t="e">
        <f ca="1">CHISQ_DIST(Q78,10,FALSE)</f>
        <v>#NAME?</v>
      </c>
      <c r="S78" s="77">
        <v>0.1</v>
      </c>
      <c r="T78" s="8" t="e">
        <f t="shared" ca="1" si="5"/>
        <v>#NAME?</v>
      </c>
    </row>
    <row r="79" spans="17:20" x14ac:dyDescent="0.25">
      <c r="Q79" s="78">
        <f t="shared" si="6"/>
        <v>7.6999999999999886</v>
      </c>
      <c r="R79" s="8" t="e">
        <f ca="1">CHISQ_DIST(Q79,10,FALSE)</f>
        <v>#NAME?</v>
      </c>
      <c r="S79" s="77">
        <v>0.1</v>
      </c>
      <c r="T79" s="8" t="e">
        <f t="shared" ca="1" si="5"/>
        <v>#NAME?</v>
      </c>
    </row>
    <row r="80" spans="17:20" x14ac:dyDescent="0.25">
      <c r="Q80" s="78">
        <f t="shared" si="6"/>
        <v>7.7999999999999883</v>
      </c>
      <c r="R80" s="8" t="e">
        <f ca="1">CHISQ_DIST(Q80,10,FALSE)</f>
        <v>#NAME?</v>
      </c>
      <c r="S80" s="77">
        <v>0.1</v>
      </c>
      <c r="T80" s="8" t="e">
        <f t="shared" ca="1" si="5"/>
        <v>#NAME?</v>
      </c>
    </row>
    <row r="81" spans="17:20" x14ac:dyDescent="0.25">
      <c r="Q81" s="78">
        <f t="shared" si="6"/>
        <v>7.8999999999999879</v>
      </c>
      <c r="R81" s="8" t="e">
        <f ca="1">CHISQ_DIST(Q81,10,FALSE)</f>
        <v>#NAME?</v>
      </c>
      <c r="S81" s="77">
        <v>0.1</v>
      </c>
      <c r="T81" s="8" t="e">
        <f t="shared" ca="1" si="5"/>
        <v>#NAME?</v>
      </c>
    </row>
    <row r="82" spans="17:20" x14ac:dyDescent="0.25">
      <c r="Q82" s="78">
        <f t="shared" si="6"/>
        <v>7.9999999999999876</v>
      </c>
      <c r="R82" s="8" t="e">
        <f ca="1">CHISQ_DIST(Q82,10,FALSE)</f>
        <v>#NAME?</v>
      </c>
      <c r="S82" s="77">
        <v>0.1</v>
      </c>
      <c r="T82" s="8" t="e">
        <f t="shared" ca="1" si="5"/>
        <v>#NAME?</v>
      </c>
    </row>
    <row r="83" spans="17:20" x14ac:dyDescent="0.25">
      <c r="Q83" s="78">
        <f t="shared" si="6"/>
        <v>8.0999999999999872</v>
      </c>
      <c r="R83" s="8" t="e">
        <f ca="1">CHISQ_DIST(Q83,10,FALSE)</f>
        <v>#NAME?</v>
      </c>
      <c r="S83" s="77">
        <v>0.1</v>
      </c>
      <c r="T83" s="8" t="e">
        <f t="shared" ca="1" si="5"/>
        <v>#NAME?</v>
      </c>
    </row>
    <row r="84" spans="17:20" x14ac:dyDescent="0.25">
      <c r="Q84" s="78">
        <f t="shared" si="6"/>
        <v>8.1999999999999869</v>
      </c>
      <c r="R84" s="8" t="e">
        <f ca="1">CHISQ_DIST(Q84,10,FALSE)</f>
        <v>#NAME?</v>
      </c>
      <c r="S84" s="77">
        <v>0.1</v>
      </c>
      <c r="T84" s="8" t="e">
        <f t="shared" ca="1" si="5"/>
        <v>#NAME?</v>
      </c>
    </row>
    <row r="85" spans="17:20" x14ac:dyDescent="0.25">
      <c r="Q85" s="78">
        <f t="shared" si="6"/>
        <v>8.2999999999999865</v>
      </c>
      <c r="R85" s="8" t="e">
        <f ca="1">CHISQ_DIST(Q85,10,FALSE)</f>
        <v>#NAME?</v>
      </c>
      <c r="S85" s="77">
        <v>0.1</v>
      </c>
      <c r="T85" s="8" t="e">
        <f t="shared" ca="1" si="5"/>
        <v>#NAME?</v>
      </c>
    </row>
    <row r="86" spans="17:20" x14ac:dyDescent="0.25">
      <c r="Q86" s="78">
        <f t="shared" si="6"/>
        <v>8.3999999999999861</v>
      </c>
      <c r="R86" s="8" t="e">
        <f ca="1">CHISQ_DIST(Q86,10,FALSE)</f>
        <v>#NAME?</v>
      </c>
      <c r="S86" s="77">
        <v>0.1</v>
      </c>
      <c r="T86" s="8" t="e">
        <f t="shared" ca="1" si="5"/>
        <v>#NAME?</v>
      </c>
    </row>
    <row r="87" spans="17:20" x14ac:dyDescent="0.25">
      <c r="Q87" s="78">
        <f t="shared" si="6"/>
        <v>8.4999999999999858</v>
      </c>
      <c r="R87" s="8" t="e">
        <f ca="1">CHISQ_DIST(Q87,10,FALSE)</f>
        <v>#NAME?</v>
      </c>
      <c r="S87" s="77">
        <v>0.1</v>
      </c>
      <c r="T87" s="8" t="e">
        <f t="shared" ca="1" si="5"/>
        <v>#NAME?</v>
      </c>
    </row>
    <row r="88" spans="17:20" x14ac:dyDescent="0.25">
      <c r="Q88" s="78">
        <f t="shared" si="6"/>
        <v>8.5999999999999854</v>
      </c>
      <c r="R88" s="8" t="e">
        <f ca="1">CHISQ_DIST(Q88,10,FALSE)</f>
        <v>#NAME?</v>
      </c>
      <c r="S88" s="77">
        <v>0.1</v>
      </c>
      <c r="T88" s="8" t="e">
        <f t="shared" ca="1" si="5"/>
        <v>#NAME?</v>
      </c>
    </row>
    <row r="89" spans="17:20" x14ac:dyDescent="0.25">
      <c r="Q89" s="78">
        <f t="shared" si="6"/>
        <v>8.6999999999999851</v>
      </c>
      <c r="R89" s="8" t="e">
        <f ca="1">CHISQ_DIST(Q89,10,FALSE)</f>
        <v>#NAME?</v>
      </c>
      <c r="S89" s="77">
        <v>0.1</v>
      </c>
      <c r="T89" s="8" t="e">
        <f t="shared" ca="1" si="5"/>
        <v>#NAME?</v>
      </c>
    </row>
    <row r="90" spans="17:20" x14ac:dyDescent="0.25">
      <c r="Q90" s="78">
        <f t="shared" si="6"/>
        <v>8.7999999999999847</v>
      </c>
      <c r="R90" s="8" t="e">
        <f ca="1">CHISQ_DIST(Q90,10,FALSE)</f>
        <v>#NAME?</v>
      </c>
      <c r="S90" s="77">
        <v>0.1</v>
      </c>
      <c r="T90" s="8" t="e">
        <f t="shared" ca="1" si="5"/>
        <v>#NAME?</v>
      </c>
    </row>
    <row r="91" spans="17:20" x14ac:dyDescent="0.25">
      <c r="Q91" s="78">
        <f t="shared" si="6"/>
        <v>8.8999999999999844</v>
      </c>
      <c r="R91" s="8" t="e">
        <f ca="1">CHISQ_DIST(Q91,10,FALSE)</f>
        <v>#NAME?</v>
      </c>
      <c r="S91" s="77">
        <v>0.1</v>
      </c>
      <c r="T91" s="8" t="e">
        <f t="shared" ca="1" si="5"/>
        <v>#NAME?</v>
      </c>
    </row>
    <row r="92" spans="17:20" x14ac:dyDescent="0.25">
      <c r="Q92" s="78">
        <f t="shared" si="6"/>
        <v>8.999999999999984</v>
      </c>
      <c r="R92" s="8" t="e">
        <f ca="1">CHISQ_DIST(Q92,10,FALSE)</f>
        <v>#NAME?</v>
      </c>
      <c r="S92" s="77">
        <v>0.1</v>
      </c>
      <c r="T92" s="8" t="e">
        <f t="shared" ca="1" si="5"/>
        <v>#NAME?</v>
      </c>
    </row>
    <row r="93" spans="17:20" x14ac:dyDescent="0.25">
      <c r="Q93" s="78">
        <f t="shared" si="6"/>
        <v>9.0999999999999837</v>
      </c>
      <c r="R93" s="8" t="e">
        <f ca="1">CHISQ_DIST(Q93,10,FALSE)</f>
        <v>#NAME?</v>
      </c>
      <c r="S93" s="77">
        <v>0.1</v>
      </c>
      <c r="T93" s="8" t="e">
        <f t="shared" ca="1" si="5"/>
        <v>#NAME?</v>
      </c>
    </row>
    <row r="94" spans="17:20" x14ac:dyDescent="0.25">
      <c r="Q94" s="78">
        <f t="shared" si="6"/>
        <v>9.1999999999999833</v>
      </c>
      <c r="R94" s="8" t="e">
        <f ca="1">CHISQ_DIST(Q94,10,FALSE)</f>
        <v>#NAME?</v>
      </c>
      <c r="S94" s="77">
        <v>0.1</v>
      </c>
      <c r="T94" s="8" t="e">
        <f t="shared" ca="1" si="5"/>
        <v>#NAME?</v>
      </c>
    </row>
    <row r="95" spans="17:20" x14ac:dyDescent="0.25">
      <c r="Q95" s="78">
        <f t="shared" si="6"/>
        <v>9.2999999999999829</v>
      </c>
      <c r="R95" s="8" t="e">
        <f ca="1">CHISQ_DIST(Q95,10,FALSE)</f>
        <v>#NAME?</v>
      </c>
      <c r="S95" s="77">
        <v>0.1</v>
      </c>
      <c r="T95" s="8" t="e">
        <f t="shared" ca="1" si="5"/>
        <v>#NAME?</v>
      </c>
    </row>
    <row r="96" spans="17:20" x14ac:dyDescent="0.25">
      <c r="Q96" s="78">
        <f t="shared" si="6"/>
        <v>9.3999999999999826</v>
      </c>
      <c r="R96" s="8" t="e">
        <f ca="1">CHISQ_DIST(Q96,10,FALSE)</f>
        <v>#NAME?</v>
      </c>
      <c r="S96" s="77">
        <v>0.1</v>
      </c>
      <c r="T96" s="8" t="e">
        <f t="shared" ca="1" si="5"/>
        <v>#NAME?</v>
      </c>
    </row>
    <row r="97" spans="17:20" x14ac:dyDescent="0.25">
      <c r="Q97" s="78">
        <f t="shared" si="6"/>
        <v>9.4999999999999822</v>
      </c>
      <c r="R97" s="8" t="e">
        <f ca="1">CHISQ_DIST(Q97,10,FALSE)</f>
        <v>#NAME?</v>
      </c>
      <c r="S97" s="77">
        <v>0.1</v>
      </c>
      <c r="T97" s="8" t="e">
        <f t="shared" ca="1" si="5"/>
        <v>#NAME?</v>
      </c>
    </row>
    <row r="98" spans="17:20" x14ac:dyDescent="0.25">
      <c r="Q98" s="78">
        <f t="shared" si="6"/>
        <v>9.5999999999999819</v>
      </c>
      <c r="R98" s="8" t="e">
        <f ca="1">CHISQ_DIST(Q98,10,FALSE)</f>
        <v>#NAME?</v>
      </c>
      <c r="S98" s="77">
        <v>0.1</v>
      </c>
      <c r="T98" s="8" t="e">
        <f t="shared" ca="1" si="5"/>
        <v>#NAME?</v>
      </c>
    </row>
    <row r="99" spans="17:20" x14ac:dyDescent="0.25">
      <c r="Q99" s="78">
        <f t="shared" si="6"/>
        <v>9.6999999999999815</v>
      </c>
      <c r="R99" s="8" t="e">
        <f ca="1">CHISQ_DIST(Q99,10,FALSE)</f>
        <v>#NAME?</v>
      </c>
      <c r="S99" s="77">
        <v>0.1</v>
      </c>
      <c r="T99" s="8" t="e">
        <f t="shared" ca="1" si="5"/>
        <v>#NAME?</v>
      </c>
    </row>
    <row r="100" spans="17:20" x14ac:dyDescent="0.25">
      <c r="Q100" s="78">
        <f t="shared" si="6"/>
        <v>9.7999999999999812</v>
      </c>
      <c r="R100" s="8" t="e">
        <f ca="1">CHISQ_DIST(Q100,10,FALSE)</f>
        <v>#NAME?</v>
      </c>
      <c r="S100" s="77">
        <v>0.1</v>
      </c>
      <c r="T100" s="8" t="e">
        <f t="shared" ca="1" si="5"/>
        <v>#NAME?</v>
      </c>
    </row>
    <row r="101" spans="17:20" x14ac:dyDescent="0.25">
      <c r="Q101" s="78">
        <f t="shared" si="6"/>
        <v>9.8999999999999808</v>
      </c>
      <c r="R101" s="8" t="e">
        <f ca="1">CHISQ_DIST(Q101,10,FALSE)</f>
        <v>#NAME?</v>
      </c>
      <c r="S101" s="77">
        <v>0.1</v>
      </c>
      <c r="T101" s="8" t="e">
        <f t="shared" ca="1" si="5"/>
        <v>#NAME?</v>
      </c>
    </row>
    <row r="102" spans="17:20" x14ac:dyDescent="0.25">
      <c r="Q102" s="78">
        <v>9.9749999999999996</v>
      </c>
      <c r="R102" s="8" t="e">
        <f ca="1">CHISQ_DIST(Q102,10,FALSE)</f>
        <v>#NAME?</v>
      </c>
      <c r="S102" s="77">
        <v>0.05</v>
      </c>
      <c r="T102" s="8" t="e">
        <f t="shared" ca="1" si="5"/>
        <v>#NAME?</v>
      </c>
    </row>
    <row r="103" spans="17:20" x14ac:dyDescent="0.25">
      <c r="T103" s="54" t="e">
        <f ca="1">SUM(T2:T102)</f>
        <v>#NAME?</v>
      </c>
    </row>
  </sheetData>
  <pageMargins left="0.7" right="0.7" top="0.75" bottom="0.75" header="0.3" footer="0.3"/>
  <drawing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/>
  <dimension ref="A1:AF51"/>
  <sheetViews>
    <sheetView workbookViewId="0">
      <selection activeCell="Q1" sqref="Q1"/>
    </sheetView>
  </sheetViews>
  <sheetFormatPr defaultRowHeight="15" x14ac:dyDescent="0.25"/>
  <cols>
    <col min="1" max="1" width="2" customWidth="1"/>
    <col min="2" max="4" width="5.7109375" customWidth="1"/>
    <col min="5" max="7" width="7.42578125" customWidth="1"/>
    <col min="16" max="16" width="8.85546875" customWidth="1"/>
    <col min="17" max="17" width="9.7109375" customWidth="1"/>
    <col min="24" max="24" width="10.140625" customWidth="1"/>
    <col min="26" max="26" width="3.28515625" customWidth="1"/>
    <col min="27" max="27" width="38.7109375" customWidth="1"/>
    <col min="29" max="29" width="9.85546875" customWidth="1"/>
    <col min="31" max="31" width="3.5703125" customWidth="1"/>
    <col min="32" max="32" width="55.42578125" customWidth="1"/>
  </cols>
  <sheetData>
    <row r="1" spans="1:32" x14ac:dyDescent="0.25">
      <c r="A1" s="1" t="s">
        <v>1356</v>
      </c>
    </row>
    <row r="2" spans="1:32" x14ac:dyDescent="0.25">
      <c r="Q2" t="s">
        <v>1361</v>
      </c>
      <c r="T2" t="s">
        <v>1360</v>
      </c>
      <c r="X2" t="s">
        <v>1361</v>
      </c>
      <c r="AC2" t="s">
        <v>1360</v>
      </c>
    </row>
    <row r="3" spans="1:32" x14ac:dyDescent="0.25">
      <c r="E3" t="s">
        <v>126</v>
      </c>
    </row>
    <row r="4" spans="1:32" x14ac:dyDescent="0.25">
      <c r="B4" s="316">
        <v>34</v>
      </c>
      <c r="C4" s="317">
        <v>50</v>
      </c>
      <c r="Q4" t="e">
        <f t="array" aca="1" ref="Q4:R9" ca="1">SKEWTEST(B4:C15,TRUE)</f>
        <v>#NAME?</v>
      </c>
      <c r="R4" s="486" t="e">
        <f ca="1"/>
        <v>#NAME?</v>
      </c>
      <c r="T4" t="e">
        <f t="array" aca="1" ref="T4:U9" ca="1">KURTTEST(B4:C15,TRUE)</f>
        <v>#NAME?</v>
      </c>
      <c r="U4" s="486" t="e">
        <f ca="1"/>
        <v>#NAME?</v>
      </c>
      <c r="X4" t="s">
        <v>64</v>
      </c>
      <c r="Y4" s="486">
        <f>COUNT(B4:C15)</f>
        <v>24</v>
      </c>
      <c r="AA4" t="e">
        <f ca="1">FTEXT(Y4)</f>
        <v>#NAME?</v>
      </c>
      <c r="AC4" t="s">
        <v>64</v>
      </c>
      <c r="AD4" s="486">
        <f>COUNT(B4:C15)</f>
        <v>24</v>
      </c>
      <c r="AF4" t="e">
        <f ca="1">FTEXT(AD4)</f>
        <v>#NAME?</v>
      </c>
    </row>
    <row r="5" spans="1:32" x14ac:dyDescent="0.25">
      <c r="B5" s="166">
        <v>56</v>
      </c>
      <c r="C5" s="167">
        <v>62</v>
      </c>
      <c r="E5" t="s">
        <v>746</v>
      </c>
      <c r="F5">
        <v>12</v>
      </c>
      <c r="Q5" t="e">
        <f ca="1"/>
        <v>#NAME?</v>
      </c>
      <c r="R5" s="163" t="e">
        <f ca="1"/>
        <v>#NAME?</v>
      </c>
      <c r="T5" t="e">
        <f ca="1"/>
        <v>#NAME?</v>
      </c>
      <c r="U5" s="163" t="e">
        <f ca="1"/>
        <v>#NAME?</v>
      </c>
      <c r="X5" t="s">
        <v>262</v>
      </c>
      <c r="Y5" s="155">
        <v>0.05</v>
      </c>
      <c r="AC5" t="s">
        <v>262</v>
      </c>
      <c r="AD5" s="155">
        <v>0.05</v>
      </c>
    </row>
    <row r="6" spans="1:32" x14ac:dyDescent="0.25">
      <c r="B6" s="166">
        <v>39</v>
      </c>
      <c r="C6" s="167">
        <v>75</v>
      </c>
      <c r="Q6" t="e">
        <f ca="1"/>
        <v>#NAME?</v>
      </c>
      <c r="R6" s="163" t="e">
        <f ca="1"/>
        <v>#NAME?</v>
      </c>
      <c r="T6" t="e">
        <f ca="1"/>
        <v>#NAME?</v>
      </c>
      <c r="U6" s="163" t="e">
        <f ca="1"/>
        <v>#NAME?</v>
      </c>
    </row>
    <row r="7" spans="1:32" x14ac:dyDescent="0.25">
      <c r="B7" s="166">
        <v>71</v>
      </c>
      <c r="C7" s="167">
        <v>44</v>
      </c>
      <c r="E7" s="494" t="s">
        <v>688</v>
      </c>
      <c r="F7" s="494" t="s">
        <v>99</v>
      </c>
      <c r="G7" s="494" t="s">
        <v>745</v>
      </c>
      <c r="Q7" t="e">
        <f ca="1"/>
        <v>#NAME?</v>
      </c>
      <c r="R7" s="163" t="e">
        <f ca="1"/>
        <v>#NAME?</v>
      </c>
      <c r="T7" t="e">
        <f ca="1"/>
        <v>#NAME?</v>
      </c>
      <c r="U7" s="163" t="e">
        <f ca="1"/>
        <v>#NAME?</v>
      </c>
      <c r="X7" t="s">
        <v>1367</v>
      </c>
      <c r="Y7" s="486">
        <f>SKEW(B4:C15)</f>
        <v>0.19570074975097188</v>
      </c>
      <c r="AA7" t="e">
        <f ca="1">FTEXT(Y7)</f>
        <v>#NAME?</v>
      </c>
      <c r="AC7" t="s">
        <v>1372</v>
      </c>
      <c r="AD7" s="486">
        <f>KURT(B4:C15)</f>
        <v>-0.78550983722770162</v>
      </c>
      <c r="AF7" t="e">
        <f ca="1">FTEXT(AD7)</f>
        <v>#NAME?</v>
      </c>
    </row>
    <row r="8" spans="1:32" x14ac:dyDescent="0.25">
      <c r="B8" s="166">
        <v>84</v>
      </c>
      <c r="C8" s="167">
        <v>88</v>
      </c>
      <c r="E8">
        <f t="shared" ref="E8:E13" si="0">E9-$F$5</f>
        <v>14</v>
      </c>
      <c r="Q8" t="e">
        <f ca="1"/>
        <v>#NAME?</v>
      </c>
      <c r="R8" s="163" t="e">
        <f ca="1"/>
        <v>#NAME?</v>
      </c>
      <c r="T8" t="e">
        <f ca="1"/>
        <v>#NAME?</v>
      </c>
      <c r="U8" s="163" t="e">
        <f ca="1"/>
        <v>#NAME?</v>
      </c>
      <c r="X8" t="s">
        <v>372</v>
      </c>
      <c r="Y8" s="163">
        <f>SQRT(6*Y4*(Y4-1)/((Y4-2)*(Y4+1)*(Y4+3)))</f>
        <v>0.47226084215219771</v>
      </c>
      <c r="AA8" t="e">
        <f ca="1">FTEXT(Y8)</f>
        <v>#NAME?</v>
      </c>
      <c r="AC8" t="s">
        <v>372</v>
      </c>
      <c r="AD8" s="163">
        <f>2*(AD4-1)*SQRT(6*AD4/((AD4-2)*(AD4-3)*(AD4+3)*(AD4+5)))</f>
        <v>0.91777708260190083</v>
      </c>
      <c r="AF8" t="e">
        <f ca="1">FTEXT(AD8)</f>
        <v>#NAME?</v>
      </c>
    </row>
    <row r="9" spans="1:32" x14ac:dyDescent="0.25">
      <c r="B9" s="166">
        <v>92</v>
      </c>
      <c r="C9" s="167">
        <v>53</v>
      </c>
      <c r="E9">
        <f t="shared" si="0"/>
        <v>26</v>
      </c>
      <c r="F9">
        <f>G9-G8</f>
        <v>1</v>
      </c>
      <c r="G9">
        <f t="shared" ref="G9:G15" si="1">COUNTIF($B$4:$C$15,"&lt;="&amp;E9)</f>
        <v>1</v>
      </c>
      <c r="Q9" t="e">
        <f ca="1"/>
        <v>#NAME?</v>
      </c>
      <c r="R9" s="155" t="e">
        <f ca="1"/>
        <v>#NAME?</v>
      </c>
      <c r="T9" t="e">
        <f ca="1"/>
        <v>#NAME?</v>
      </c>
      <c r="U9" s="155" t="e">
        <f ca="1"/>
        <v>#NAME?</v>
      </c>
      <c r="X9" t="s">
        <v>1368</v>
      </c>
      <c r="Y9" s="163">
        <f>Y7/Y8</f>
        <v>0.41439122680406876</v>
      </c>
      <c r="AA9" t="e">
        <f ca="1">FTEXT(Y9)</f>
        <v>#NAME?</v>
      </c>
      <c r="AC9" t="s">
        <v>1368</v>
      </c>
      <c r="AD9" s="163">
        <f>AD7/AD8</f>
        <v>-0.855883037524514</v>
      </c>
      <c r="AF9" t="e">
        <f ca="1">FTEXT(AD9)</f>
        <v>#NAME?</v>
      </c>
    </row>
    <row r="10" spans="1:32" x14ac:dyDescent="0.25">
      <c r="B10" s="166">
        <v>44</v>
      </c>
      <c r="C10" s="167">
        <v>61</v>
      </c>
      <c r="E10">
        <f t="shared" si="0"/>
        <v>38</v>
      </c>
      <c r="F10">
        <f t="shared" ref="F10:F15" si="2">G10-G9</f>
        <v>3</v>
      </c>
      <c r="G10">
        <f t="shared" si="1"/>
        <v>4</v>
      </c>
      <c r="X10" t="s">
        <v>182</v>
      </c>
      <c r="Y10" s="163">
        <f>1-NORMSDIST(ABS(Y9))</f>
        <v>0.33929380648834129</v>
      </c>
      <c r="AA10" s="22" t="s">
        <v>1369</v>
      </c>
      <c r="AC10" t="s">
        <v>182</v>
      </c>
      <c r="AD10" s="163">
        <f>1-NORMSDIST(ABS(AD9))</f>
        <v>0.19603123916190379</v>
      </c>
      <c r="AF10" s="22" t="s">
        <v>1373</v>
      </c>
    </row>
    <row r="11" spans="1:32" x14ac:dyDescent="0.25">
      <c r="B11" s="166">
        <v>67</v>
      </c>
      <c r="C11" s="167">
        <v>25</v>
      </c>
      <c r="E11">
        <f t="shared" si="0"/>
        <v>50</v>
      </c>
      <c r="F11">
        <f t="shared" si="2"/>
        <v>5</v>
      </c>
      <c r="G11">
        <f t="shared" si="1"/>
        <v>9</v>
      </c>
      <c r="X11" t="s">
        <v>102</v>
      </c>
      <c r="Y11" s="163">
        <f>Y7-Y8*NORMSINV(1-Y5/2)</f>
        <v>-0.72991349217589085</v>
      </c>
      <c r="AA11" s="22" t="s">
        <v>1370</v>
      </c>
      <c r="AC11" t="s">
        <v>102</v>
      </c>
      <c r="AD11" s="163">
        <f>AD7-AD8*NORMSINV(1-AD5/2)</f>
        <v>-2.5843198649636694</v>
      </c>
      <c r="AF11" s="22" t="s">
        <v>1374</v>
      </c>
    </row>
    <row r="12" spans="1:32" x14ac:dyDescent="0.25">
      <c r="B12" s="166">
        <v>98</v>
      </c>
      <c r="C12" s="167">
        <v>36</v>
      </c>
      <c r="E12">
        <f t="shared" si="0"/>
        <v>62</v>
      </c>
      <c r="F12">
        <f t="shared" si="2"/>
        <v>5</v>
      </c>
      <c r="G12">
        <f t="shared" si="1"/>
        <v>14</v>
      </c>
      <c r="X12" t="s">
        <v>103</v>
      </c>
      <c r="Y12" s="155">
        <f>Y7-Y8*NORMSINV(Y5/2)</f>
        <v>1.1213149916778347</v>
      </c>
      <c r="AA12" s="22" t="s">
        <v>1371</v>
      </c>
      <c r="AC12" t="s">
        <v>103</v>
      </c>
      <c r="AD12" s="155">
        <f>AD7-AD8*NORMSINV(AD5/2)</f>
        <v>1.0133001905082661</v>
      </c>
      <c r="AF12" s="22" t="s">
        <v>1375</v>
      </c>
    </row>
    <row r="13" spans="1:32" x14ac:dyDescent="0.25">
      <c r="B13" s="166">
        <v>49</v>
      </c>
      <c r="C13" s="167">
        <v>66</v>
      </c>
      <c r="E13">
        <f t="shared" si="0"/>
        <v>74</v>
      </c>
      <c r="F13">
        <f t="shared" si="2"/>
        <v>4</v>
      </c>
      <c r="G13">
        <f t="shared" si="1"/>
        <v>18</v>
      </c>
    </row>
    <row r="14" spans="1:32" x14ac:dyDescent="0.25">
      <c r="B14" s="166">
        <v>55</v>
      </c>
      <c r="C14" s="167">
        <v>77</v>
      </c>
      <c r="E14">
        <f>E15-$F$5</f>
        <v>86</v>
      </c>
      <c r="F14">
        <f t="shared" si="2"/>
        <v>3</v>
      </c>
      <c r="G14">
        <f t="shared" si="1"/>
        <v>21</v>
      </c>
      <c r="X14" t="s">
        <v>1362</v>
      </c>
    </row>
    <row r="15" spans="1:32" x14ac:dyDescent="0.25">
      <c r="B15" s="148">
        <v>73</v>
      </c>
      <c r="C15" s="153">
        <v>35</v>
      </c>
      <c r="E15" s="276">
        <f>MAX(B4:C15)</f>
        <v>98</v>
      </c>
      <c r="F15" s="276">
        <f t="shared" si="2"/>
        <v>3</v>
      </c>
      <c r="G15" s="276">
        <f t="shared" si="1"/>
        <v>24</v>
      </c>
    </row>
    <row r="16" spans="1:32" x14ac:dyDescent="0.25">
      <c r="X16" t="s">
        <v>1363</v>
      </c>
      <c r="Y16" s="486">
        <f>Y9^2+AD9^2</f>
        <v>0.90425586277436976</v>
      </c>
      <c r="AA16" t="e">
        <f ca="1">FTEXT(Y16)</f>
        <v>#NAME?</v>
      </c>
    </row>
    <row r="17" spans="2:27" x14ac:dyDescent="0.25">
      <c r="X17" t="s">
        <v>182</v>
      </c>
      <c r="Y17" s="155">
        <f>CHIDIST(Y16,2)</f>
        <v>0.63627276526061727</v>
      </c>
      <c r="AA17" s="22" t="s">
        <v>1376</v>
      </c>
    </row>
    <row r="19" spans="2:27" x14ac:dyDescent="0.25">
      <c r="J19" s="493" t="s">
        <v>1238</v>
      </c>
      <c r="K19" s="493" t="s">
        <v>1359</v>
      </c>
      <c r="X19" t="s">
        <v>1363</v>
      </c>
      <c r="Y19" s="486" t="e">
        <f ca="1">DAGOSTINO(B4:C15)</f>
        <v>#NAME?</v>
      </c>
      <c r="AA19" t="e">
        <f ca="1">FTEXT(Y19)</f>
        <v>#NAME?</v>
      </c>
    </row>
    <row r="20" spans="2:27" x14ac:dyDescent="0.25">
      <c r="I20" t="s">
        <v>1357</v>
      </c>
      <c r="J20" s="316">
        <f>SKEW(B4:C15)</f>
        <v>0.19570074975097188</v>
      </c>
      <c r="K20" s="317" t="e">
        <f ca="1">SKEWP(B4:C15)</f>
        <v>#NAME?</v>
      </c>
      <c r="X20" t="s">
        <v>182</v>
      </c>
      <c r="Y20" s="155" t="e">
        <f ca="1">DPTEST(B4:C15)</f>
        <v>#NAME?</v>
      </c>
      <c r="AA20" t="e">
        <f ca="1">FTEXT(Y20)</f>
        <v>#NAME?</v>
      </c>
    </row>
    <row r="21" spans="2:27" x14ac:dyDescent="0.25">
      <c r="I21" t="s">
        <v>1358</v>
      </c>
      <c r="J21" s="148">
        <f>KURT(B4:C15)</f>
        <v>-0.78550983722770162</v>
      </c>
      <c r="K21" s="153" t="e">
        <f ca="1">KURTP(B4:C15)</f>
        <v>#NAME?</v>
      </c>
    </row>
    <row r="22" spans="2:27" x14ac:dyDescent="0.25">
      <c r="X22" t="s">
        <v>1364</v>
      </c>
    </row>
    <row r="24" spans="2:27" x14ac:dyDescent="0.25">
      <c r="X24" t="s">
        <v>1363</v>
      </c>
      <c r="Y24" s="486" t="e">
        <f ca="1">SHAPIRO(B4:C15)</f>
        <v>#NAME?</v>
      </c>
      <c r="AA24" t="e">
        <f ca="1">FTEXT(Y24)</f>
        <v>#NAME?</v>
      </c>
    </row>
    <row r="25" spans="2:27" x14ac:dyDescent="0.25">
      <c r="X25" t="s">
        <v>182</v>
      </c>
      <c r="Y25" s="155" t="e">
        <f ca="1">SWTEST(B4:C15)</f>
        <v>#NAME?</v>
      </c>
      <c r="AA25" t="e">
        <f ca="1">FTEXT(Y25)</f>
        <v>#NAME?</v>
      </c>
    </row>
    <row r="28" spans="2:27" x14ac:dyDescent="0.25">
      <c r="R28" s="493" t="s">
        <v>1238</v>
      </c>
      <c r="S28" s="493" t="s">
        <v>1359</v>
      </c>
    </row>
    <row r="29" spans="2:27" x14ac:dyDescent="0.25">
      <c r="B29" s="316">
        <v>34</v>
      </c>
      <c r="C29" s="317">
        <v>50</v>
      </c>
      <c r="E29" t="s">
        <v>126</v>
      </c>
      <c r="Q29" t="s">
        <v>1357</v>
      </c>
      <c r="R29" s="316">
        <f>SKEW(B29:C40)</f>
        <v>9.0477249533097867E-2</v>
      </c>
      <c r="S29" s="317" t="e">
        <f ca="1">SKEWP(B29:C40)</f>
        <v>#NAME?</v>
      </c>
    </row>
    <row r="30" spans="2:27" x14ac:dyDescent="0.25">
      <c r="B30" s="166">
        <v>56</v>
      </c>
      <c r="C30" s="167">
        <v>62</v>
      </c>
      <c r="Q30" t="s">
        <v>1358</v>
      </c>
      <c r="R30" s="148">
        <f>KURT(B29:C40)</f>
        <v>-0.99529282473745395</v>
      </c>
      <c r="S30" s="153" t="e">
        <f ca="1">KURTP(B29:C40)</f>
        <v>#NAME?</v>
      </c>
    </row>
    <row r="31" spans="2:27" x14ac:dyDescent="0.25">
      <c r="B31" s="166">
        <v>39</v>
      </c>
      <c r="C31" s="167">
        <v>84</v>
      </c>
      <c r="E31" t="s">
        <v>746</v>
      </c>
      <c r="F31">
        <v>12</v>
      </c>
    </row>
    <row r="32" spans="2:27" x14ac:dyDescent="0.25">
      <c r="B32" s="166">
        <v>71</v>
      </c>
      <c r="C32" s="167">
        <v>44</v>
      </c>
      <c r="Q32" t="s">
        <v>1361</v>
      </c>
      <c r="T32" t="s">
        <v>1360</v>
      </c>
    </row>
    <row r="33" spans="2:21" x14ac:dyDescent="0.25">
      <c r="B33" s="166">
        <v>84</v>
      </c>
      <c r="C33" s="167">
        <v>88</v>
      </c>
      <c r="E33" s="494" t="s">
        <v>688</v>
      </c>
      <c r="F33" s="494" t="s">
        <v>99</v>
      </c>
      <c r="G33" s="494" t="s">
        <v>745</v>
      </c>
    </row>
    <row r="34" spans="2:21" x14ac:dyDescent="0.25">
      <c r="B34" s="166">
        <v>88</v>
      </c>
      <c r="C34" s="167">
        <v>53</v>
      </c>
      <c r="E34">
        <f t="shared" ref="E34:E39" si="3">E35-$F$31</f>
        <v>14</v>
      </c>
      <c r="Q34" t="e">
        <f t="array" aca="1" ref="Q34:R39" ca="1">SKEWTEST(B29:C40,TRUE)</f>
        <v>#NAME?</v>
      </c>
      <c r="R34" s="486" t="e">
        <f ca="1"/>
        <v>#NAME?</v>
      </c>
      <c r="T34" t="e">
        <f t="array" aca="1" ref="T34:U39" ca="1">KURTTEST(B29:C40,TRUE)</f>
        <v>#NAME?</v>
      </c>
      <c r="U34" s="486" t="e">
        <f ca="1"/>
        <v>#NAME?</v>
      </c>
    </row>
    <row r="35" spans="2:21" x14ac:dyDescent="0.25">
      <c r="B35" s="166">
        <v>44</v>
      </c>
      <c r="C35" s="167">
        <v>62</v>
      </c>
      <c r="E35">
        <f t="shared" si="3"/>
        <v>26</v>
      </c>
      <c r="F35">
        <f>G35-G34</f>
        <v>1</v>
      </c>
      <c r="G35">
        <f>COUNTIF($B$29:$C$40,"&lt;="&amp;E35)</f>
        <v>1</v>
      </c>
      <c r="Q35" t="e">
        <f ca="1"/>
        <v>#NAME?</v>
      </c>
      <c r="R35" s="163" t="e">
        <f ca="1"/>
        <v>#NAME?</v>
      </c>
      <c r="T35" t="e">
        <f ca="1"/>
        <v>#NAME?</v>
      </c>
      <c r="U35" s="163" t="e">
        <f ca="1"/>
        <v>#NAME?</v>
      </c>
    </row>
    <row r="36" spans="2:21" x14ac:dyDescent="0.25">
      <c r="B36" s="166">
        <v>67</v>
      </c>
      <c r="C36" s="167">
        <v>25</v>
      </c>
      <c r="E36">
        <f t="shared" si="3"/>
        <v>38</v>
      </c>
      <c r="F36">
        <f t="shared" ref="F36:F41" si="4">G36-G35</f>
        <v>3</v>
      </c>
      <c r="G36">
        <f t="shared" ref="G36:G41" si="5">COUNTIF($B$29:$C$40,"&lt;="&amp;E36)</f>
        <v>4</v>
      </c>
      <c r="Q36" t="e">
        <f ca="1"/>
        <v>#NAME?</v>
      </c>
      <c r="R36" s="163" t="e">
        <f ca="1"/>
        <v>#NAME?</v>
      </c>
      <c r="T36" t="e">
        <f ca="1"/>
        <v>#NAME?</v>
      </c>
      <c r="U36" s="163" t="e">
        <f ca="1"/>
        <v>#NAME?</v>
      </c>
    </row>
    <row r="37" spans="2:21" x14ac:dyDescent="0.25">
      <c r="B37" s="166">
        <v>98</v>
      </c>
      <c r="C37" s="167">
        <v>34</v>
      </c>
      <c r="E37">
        <f t="shared" si="3"/>
        <v>50</v>
      </c>
      <c r="F37">
        <f t="shared" si="4"/>
        <v>5</v>
      </c>
      <c r="G37">
        <f t="shared" si="5"/>
        <v>9</v>
      </c>
      <c r="Q37" t="e">
        <f ca="1"/>
        <v>#NAME?</v>
      </c>
      <c r="R37" s="163" t="e">
        <f ca="1"/>
        <v>#NAME?</v>
      </c>
      <c r="T37" t="e">
        <f ca="1"/>
        <v>#NAME?</v>
      </c>
      <c r="U37" s="163" t="e">
        <f ca="1"/>
        <v>#NAME?</v>
      </c>
    </row>
    <row r="38" spans="2:21" x14ac:dyDescent="0.25">
      <c r="B38" s="166">
        <v>49</v>
      </c>
      <c r="C38" s="167">
        <v>66</v>
      </c>
      <c r="E38">
        <f t="shared" si="3"/>
        <v>62</v>
      </c>
      <c r="F38">
        <f t="shared" si="4"/>
        <v>5</v>
      </c>
      <c r="G38">
        <f t="shared" si="5"/>
        <v>14</v>
      </c>
      <c r="Q38" t="e">
        <f ca="1"/>
        <v>#NAME?</v>
      </c>
      <c r="R38" s="163" t="e">
        <f ca="1"/>
        <v>#NAME?</v>
      </c>
      <c r="T38" t="e">
        <f ca="1"/>
        <v>#NAME?</v>
      </c>
      <c r="U38" s="163" t="e">
        <f ca="1"/>
        <v>#NAME?</v>
      </c>
    </row>
    <row r="39" spans="2:21" x14ac:dyDescent="0.25">
      <c r="B39" s="166">
        <v>62</v>
      </c>
      <c r="C39" s="167">
        <v>84</v>
      </c>
      <c r="E39">
        <f t="shared" si="3"/>
        <v>74</v>
      </c>
      <c r="F39">
        <f t="shared" si="4"/>
        <v>4</v>
      </c>
      <c r="G39">
        <f t="shared" si="5"/>
        <v>18</v>
      </c>
      <c r="Q39" t="e">
        <f ca="1"/>
        <v>#NAME?</v>
      </c>
      <c r="R39" s="155" t="e">
        <f ca="1"/>
        <v>#NAME?</v>
      </c>
      <c r="T39" t="e">
        <f ca="1"/>
        <v>#NAME?</v>
      </c>
      <c r="U39" s="155" t="e">
        <f ca="1"/>
        <v>#NAME?</v>
      </c>
    </row>
    <row r="40" spans="2:21" x14ac:dyDescent="0.25">
      <c r="B40" s="148">
        <v>73</v>
      </c>
      <c r="C40" s="153">
        <v>35</v>
      </c>
      <c r="E40">
        <f>E41-$F$31</f>
        <v>86</v>
      </c>
      <c r="F40">
        <f t="shared" si="4"/>
        <v>3</v>
      </c>
      <c r="G40">
        <f t="shared" si="5"/>
        <v>21</v>
      </c>
    </row>
    <row r="41" spans="2:21" x14ac:dyDescent="0.25">
      <c r="E41" s="276">
        <f>MAX(B29:C40)</f>
        <v>98</v>
      </c>
      <c r="F41" s="276">
        <f t="shared" si="4"/>
        <v>3</v>
      </c>
      <c r="G41" s="276">
        <f t="shared" si="5"/>
        <v>24</v>
      </c>
    </row>
    <row r="42" spans="2:21" x14ac:dyDescent="0.25">
      <c r="Q42" t="s">
        <v>1362</v>
      </c>
    </row>
    <row r="44" spans="2:21" x14ac:dyDescent="0.25">
      <c r="Q44" t="s">
        <v>1363</v>
      </c>
      <c r="R44" s="486" t="e">
        <f ca="1">DAGOSTINO(B29:C40)</f>
        <v>#NAME?</v>
      </c>
      <c r="T44" s="486" t="e">
        <f ca="1">R36^2+U36^2</f>
        <v>#NAME?</v>
      </c>
    </row>
    <row r="45" spans="2:21" x14ac:dyDescent="0.25">
      <c r="Q45" t="s">
        <v>182</v>
      </c>
      <c r="R45" s="155" t="e">
        <f ca="1">DPTEST(B29:C40)</f>
        <v>#NAME?</v>
      </c>
      <c r="T45" s="155" t="e">
        <f ca="1">CHIDIST(T44,2)</f>
        <v>#NAME?</v>
      </c>
    </row>
    <row r="48" spans="2:21" x14ac:dyDescent="0.25">
      <c r="Q48" t="s">
        <v>1364</v>
      </c>
    </row>
    <row r="50" spans="17:18" x14ac:dyDescent="0.25">
      <c r="Q50" t="s">
        <v>1363</v>
      </c>
      <c r="R50" s="486" t="e">
        <f ca="1">SHAPIRO(B29:C40)</f>
        <v>#NAME?</v>
      </c>
    </row>
    <row r="51" spans="17:18" x14ac:dyDescent="0.25">
      <c r="Q51" t="s">
        <v>182</v>
      </c>
      <c r="R51" s="155" t="e">
        <f ca="1">SWTEST(B29:C40)</f>
        <v>#NAME?</v>
      </c>
    </row>
  </sheetData>
  <pageMargins left="0.7" right="0.7" top="0.75" bottom="0.75" header="0.3" footer="0.3"/>
  <drawing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I20"/>
  <sheetViews>
    <sheetView workbookViewId="0">
      <selection activeCell="A16" sqref="A16"/>
    </sheetView>
  </sheetViews>
  <sheetFormatPr defaultRowHeight="15" x14ac:dyDescent="0.25"/>
  <cols>
    <col min="1" max="1" width="14.42578125" customWidth="1"/>
    <col min="2" max="2" width="9" customWidth="1"/>
    <col min="3" max="3" width="3.5703125" customWidth="1"/>
    <col min="4" max="4" width="33.28515625" customWidth="1"/>
    <col min="5" max="5" width="10" customWidth="1"/>
    <col min="6" max="6" width="16.7109375" customWidth="1"/>
    <col min="8" max="8" width="3.85546875" customWidth="1"/>
    <col min="9" max="9" width="23" customWidth="1"/>
  </cols>
  <sheetData>
    <row r="1" spans="1:9" x14ac:dyDescent="0.25">
      <c r="A1" s="1" t="s">
        <v>259</v>
      </c>
    </row>
    <row r="2" spans="1:9" x14ac:dyDescent="0.25">
      <c r="A2" s="1"/>
    </row>
    <row r="3" spans="1:9" x14ac:dyDescent="0.25">
      <c r="A3" s="1" t="s">
        <v>1030</v>
      </c>
      <c r="F3" s="1" t="s">
        <v>917</v>
      </c>
    </row>
    <row r="4" spans="1:9" x14ac:dyDescent="0.25">
      <c r="F4" s="1"/>
    </row>
    <row r="5" spans="1:9" x14ac:dyDescent="0.25">
      <c r="A5" t="s">
        <v>105</v>
      </c>
      <c r="B5" s="315">
        <v>30</v>
      </c>
      <c r="C5" s="8"/>
      <c r="D5" s="8"/>
      <c r="F5" t="s">
        <v>105</v>
      </c>
      <c r="G5" s="154">
        <v>25</v>
      </c>
      <c r="I5" t="e">
        <f ca="1">FTEXT(G5)</f>
        <v>#NAME?</v>
      </c>
    </row>
    <row r="6" spans="1:9" x14ac:dyDescent="0.25">
      <c r="A6" t="s">
        <v>168</v>
      </c>
      <c r="B6" s="163">
        <f>B5-1</f>
        <v>29</v>
      </c>
      <c r="C6" s="8"/>
      <c r="D6" s="8" t="s">
        <v>1141</v>
      </c>
      <c r="F6" t="s">
        <v>168</v>
      </c>
      <c r="G6" s="163">
        <f>G5-1</f>
        <v>24</v>
      </c>
      <c r="I6" t="e">
        <f ca="1">FTEXT(G6)</f>
        <v>#NAME?</v>
      </c>
    </row>
    <row r="7" spans="1:9" x14ac:dyDescent="0.25">
      <c r="A7" t="s">
        <v>263</v>
      </c>
      <c r="B7" s="163">
        <v>1.1000000000000001</v>
      </c>
      <c r="C7" s="8"/>
      <c r="D7" s="8"/>
      <c r="F7" t="s">
        <v>263</v>
      </c>
      <c r="G7" s="163">
        <v>1.2</v>
      </c>
    </row>
    <row r="8" spans="1:9" x14ac:dyDescent="0.25">
      <c r="A8" t="s">
        <v>260</v>
      </c>
      <c r="B8" s="163">
        <f>B7^2</f>
        <v>1.2100000000000002</v>
      </c>
      <c r="C8" s="8"/>
      <c r="D8" s="8" t="s">
        <v>1142</v>
      </c>
      <c r="F8" t="s">
        <v>260</v>
      </c>
      <c r="G8" s="163">
        <f>G7^2</f>
        <v>1.44</v>
      </c>
      <c r="I8" t="e">
        <f ca="1">FTEXT(G8)</f>
        <v>#NAME?</v>
      </c>
    </row>
    <row r="9" spans="1:9" x14ac:dyDescent="0.25">
      <c r="A9" s="53" t="s">
        <v>140</v>
      </c>
      <c r="B9" s="163">
        <v>0.05</v>
      </c>
      <c r="C9" s="8"/>
      <c r="D9" s="8"/>
      <c r="F9" t="s">
        <v>265</v>
      </c>
      <c r="G9" s="163">
        <v>1.5</v>
      </c>
    </row>
    <row r="10" spans="1:9" x14ac:dyDescent="0.25">
      <c r="A10" t="s">
        <v>1143</v>
      </c>
      <c r="B10" s="163">
        <f>CHIINV(1-B9/2,B6)</f>
        <v>16.047071695364892</v>
      </c>
      <c r="C10" s="8"/>
      <c r="D10" s="294" t="s">
        <v>1145</v>
      </c>
      <c r="F10" t="s">
        <v>261</v>
      </c>
      <c r="G10" s="163">
        <f>G9^2</f>
        <v>2.25</v>
      </c>
      <c r="I10" t="e">
        <f ca="1">FTEXT(G10)</f>
        <v>#NAME?</v>
      </c>
    </row>
    <row r="11" spans="1:9" x14ac:dyDescent="0.25">
      <c r="A11" t="s">
        <v>1144</v>
      </c>
      <c r="B11" s="163">
        <f>CHIINV(B9/2,B6)</f>
        <v>45.722285804174533</v>
      </c>
      <c r="C11" s="8"/>
      <c r="D11" s="294" t="s">
        <v>1146</v>
      </c>
      <c r="F11" s="53" t="s">
        <v>140</v>
      </c>
      <c r="G11" s="163">
        <v>0.05</v>
      </c>
    </row>
    <row r="12" spans="1:9" x14ac:dyDescent="0.25">
      <c r="A12" t="s">
        <v>102</v>
      </c>
      <c r="B12" s="163">
        <f>B8/B6*B10</f>
        <v>0.6695502328066042</v>
      </c>
      <c r="C12" s="8"/>
      <c r="D12" s="294" t="e">
        <f ca="1">FTEXT(B12)</f>
        <v>#NAME?</v>
      </c>
      <c r="F12" t="s">
        <v>28</v>
      </c>
      <c r="G12" s="163">
        <f>G6*G10/G8</f>
        <v>37.5</v>
      </c>
      <c r="I12" t="e">
        <f ca="1">FTEXT(G12)</f>
        <v>#NAME?</v>
      </c>
    </row>
    <row r="13" spans="1:9" x14ac:dyDescent="0.25">
      <c r="A13" t="s">
        <v>103</v>
      </c>
      <c r="B13" s="163">
        <f>B8/B6*B11</f>
        <v>1.9077229594155583</v>
      </c>
      <c r="C13" s="8"/>
      <c r="D13" s="294" t="e">
        <f ca="1">FTEXT(B13)</f>
        <v>#NAME?</v>
      </c>
      <c r="F13" t="s">
        <v>182</v>
      </c>
      <c r="G13" s="163">
        <f>CHIDIST(G12,G6)</f>
        <v>3.898179833314705E-2</v>
      </c>
      <c r="I13" s="22" t="s">
        <v>1148</v>
      </c>
    </row>
    <row r="14" spans="1:9" x14ac:dyDescent="0.25">
      <c r="A14" t="s">
        <v>381</v>
      </c>
      <c r="B14" s="152" t="str">
        <f>IF(AND(B12&lt;B8,B8&lt;B13),"no","yes")</f>
        <v>no</v>
      </c>
      <c r="D14" s="294" t="e">
        <f ca="1">FTEXT(B14)</f>
        <v>#NAME?</v>
      </c>
      <c r="F14" t="s">
        <v>381</v>
      </c>
      <c r="G14" s="182" t="str">
        <f>IF(G13&lt;G11,"yes","no")</f>
        <v>yes</v>
      </c>
      <c r="I14" t="s">
        <v>1147</v>
      </c>
    </row>
    <row r="15" spans="1:9" x14ac:dyDescent="0.25">
      <c r="F15" t="s">
        <v>272</v>
      </c>
      <c r="G15" s="155">
        <f>CHIINV(G11,G6)</f>
        <v>36.415028501807313</v>
      </c>
      <c r="I15" s="22" t="s">
        <v>1149</v>
      </c>
    </row>
    <row r="17" spans="6:9" x14ac:dyDescent="0.25">
      <c r="F17" t="s">
        <v>546</v>
      </c>
    </row>
    <row r="19" spans="6:9" x14ac:dyDescent="0.25">
      <c r="F19" t="s">
        <v>1143</v>
      </c>
      <c r="G19" s="154">
        <f>CHIINV(1-G11/2,G6)</f>
        <v>12.401150217444435</v>
      </c>
      <c r="I19" t="e">
        <f ca="1">FTEXT(G19)</f>
        <v>#NAME?</v>
      </c>
    </row>
    <row r="20" spans="6:9" x14ac:dyDescent="0.25">
      <c r="F20" t="s">
        <v>1144</v>
      </c>
      <c r="G20" s="155">
        <f>CHIINV(G11/2,G6)</f>
        <v>39.364077026603915</v>
      </c>
      <c r="I20" t="e">
        <f ca="1">FTEXT(G20)</f>
        <v>#NAME?</v>
      </c>
    </row>
  </sheetData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3"/>
  <dimension ref="A1:D10"/>
  <sheetViews>
    <sheetView workbookViewId="0"/>
  </sheetViews>
  <sheetFormatPr defaultRowHeight="15" x14ac:dyDescent="0.25"/>
  <cols>
    <col min="3" max="3" width="4" customWidth="1"/>
    <col min="4" max="4" width="27.85546875" customWidth="1"/>
  </cols>
  <sheetData>
    <row r="1" spans="1:4" x14ac:dyDescent="0.25">
      <c r="A1" s="1" t="s">
        <v>257</v>
      </c>
    </row>
    <row r="3" spans="1:4" x14ac:dyDescent="0.25">
      <c r="A3" t="s">
        <v>105</v>
      </c>
      <c r="B3" s="154">
        <v>10</v>
      </c>
    </row>
    <row r="4" spans="1:4" x14ac:dyDescent="0.25">
      <c r="A4" t="s">
        <v>250</v>
      </c>
      <c r="B4" s="163">
        <v>0.5</v>
      </c>
    </row>
    <row r="5" spans="1:4" x14ac:dyDescent="0.25">
      <c r="A5" t="s">
        <v>28</v>
      </c>
      <c r="B5" s="163">
        <v>9</v>
      </c>
    </row>
    <row r="6" spans="1:4" ht="17.25" x14ac:dyDescent="0.25">
      <c r="A6" t="s">
        <v>549</v>
      </c>
      <c r="B6" s="163">
        <f>(B5-B3*B4)^2/(B3*B4*(1-B4))</f>
        <v>6.4</v>
      </c>
      <c r="D6" t="e">
        <f ca="1">FTEXT(B6)</f>
        <v>#NAME?</v>
      </c>
    </row>
    <row r="7" spans="1:4" x14ac:dyDescent="0.25">
      <c r="A7" s="53" t="s">
        <v>140</v>
      </c>
      <c r="B7" s="163">
        <v>0.05</v>
      </c>
    </row>
    <row r="8" spans="1:4" x14ac:dyDescent="0.25">
      <c r="A8" s="53" t="s">
        <v>168</v>
      </c>
      <c r="B8" s="163">
        <v>1</v>
      </c>
    </row>
    <row r="9" spans="1:4" x14ac:dyDescent="0.25">
      <c r="A9" t="s">
        <v>182</v>
      </c>
      <c r="B9" s="163">
        <f>CHIDIST(B6,B8)</f>
        <v>1.1412036386001658E-2</v>
      </c>
      <c r="D9" s="22" t="s">
        <v>1153</v>
      </c>
    </row>
    <row r="10" spans="1:4" x14ac:dyDescent="0.25">
      <c r="A10" t="s">
        <v>381</v>
      </c>
      <c r="B10" s="152" t="str">
        <f>IF(B9&lt;B7,"yes","no")</f>
        <v>yes</v>
      </c>
      <c r="D10" t="e">
        <f ca="1">FTEXT(B10)</f>
        <v>#NAME?</v>
      </c>
    </row>
  </sheetData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M12"/>
  <sheetViews>
    <sheetView workbookViewId="0"/>
  </sheetViews>
  <sheetFormatPr defaultRowHeight="15" x14ac:dyDescent="0.25"/>
  <cols>
    <col min="1" max="1" width="12.140625" customWidth="1"/>
    <col min="2" max="7" width="6.140625" customWidth="1"/>
    <col min="8" max="8" width="7.140625" customWidth="1"/>
    <col min="9" max="9" width="5.140625" customWidth="1"/>
    <col min="12" max="12" width="3.140625" customWidth="1"/>
    <col min="13" max="13" width="24" customWidth="1"/>
  </cols>
  <sheetData>
    <row r="1" spans="1:13" x14ac:dyDescent="0.25">
      <c r="A1" s="1" t="s">
        <v>257</v>
      </c>
    </row>
    <row r="3" spans="1:13" x14ac:dyDescent="0.25">
      <c r="A3" t="s">
        <v>278</v>
      </c>
      <c r="B3" s="81">
        <v>1</v>
      </c>
      <c r="C3" s="81">
        <f>B3+1</f>
        <v>2</v>
      </c>
      <c r="D3" s="81">
        <f>C3+1</f>
        <v>3</v>
      </c>
      <c r="E3" s="81">
        <f>D3+1</f>
        <v>4</v>
      </c>
      <c r="F3" s="81">
        <f>E3+1</f>
        <v>5</v>
      </c>
      <c r="G3" s="81">
        <f>F3+1</f>
        <v>6</v>
      </c>
      <c r="H3" s="81" t="s">
        <v>12</v>
      </c>
      <c r="J3" t="s">
        <v>140</v>
      </c>
      <c r="K3" s="154">
        <v>0.05</v>
      </c>
    </row>
    <row r="4" spans="1:13" x14ac:dyDescent="0.25">
      <c r="A4" t="s">
        <v>279</v>
      </c>
      <c r="B4" s="67">
        <v>5</v>
      </c>
      <c r="C4" s="86">
        <v>14</v>
      </c>
      <c r="D4" s="86">
        <v>7</v>
      </c>
      <c r="E4" s="86">
        <v>18</v>
      </c>
      <c r="F4" s="86">
        <v>7</v>
      </c>
      <c r="G4" s="68">
        <v>9</v>
      </c>
      <c r="H4" s="81">
        <f>SUM(B4:G4)</f>
        <v>60</v>
      </c>
      <c r="J4" t="s">
        <v>168</v>
      </c>
      <c r="K4" s="163">
        <f>COUNT(B3:G3)-1</f>
        <v>5</v>
      </c>
    </row>
    <row r="5" spans="1:13" x14ac:dyDescent="0.25">
      <c r="A5" t="s">
        <v>280</v>
      </c>
      <c r="B5" s="71">
        <f t="shared" ref="B5:G5" si="0">$H$4/6</f>
        <v>10</v>
      </c>
      <c r="C5" s="90">
        <f t="shared" si="0"/>
        <v>10</v>
      </c>
      <c r="D5" s="90">
        <f t="shared" si="0"/>
        <v>10</v>
      </c>
      <c r="E5" s="90">
        <f t="shared" si="0"/>
        <v>10</v>
      </c>
      <c r="F5" s="90">
        <f t="shared" si="0"/>
        <v>10</v>
      </c>
      <c r="G5" s="72">
        <f t="shared" si="0"/>
        <v>10</v>
      </c>
      <c r="H5" s="81">
        <f>SUM(B5:G5)</f>
        <v>60</v>
      </c>
      <c r="J5" s="53" t="s">
        <v>271</v>
      </c>
      <c r="K5" s="163">
        <f>H7</f>
        <v>12.4</v>
      </c>
      <c r="M5" t="e">
        <f ca="1">FTEXT(K5)</f>
        <v>#NAME?</v>
      </c>
    </row>
    <row r="6" spans="1:13" x14ac:dyDescent="0.25">
      <c r="J6" s="53" t="s">
        <v>272</v>
      </c>
      <c r="K6" s="163">
        <f>CHIINV(K3,K4)</f>
        <v>11.070497693516353</v>
      </c>
      <c r="M6" s="22" t="s">
        <v>1154</v>
      </c>
    </row>
    <row r="7" spans="1:13" x14ac:dyDescent="0.25">
      <c r="A7" s="53" t="s">
        <v>270</v>
      </c>
      <c r="B7" s="79">
        <f t="shared" ref="B7:G7" si="1">(B4-B5)^2/B5</f>
        <v>2.5</v>
      </c>
      <c r="C7" s="92">
        <f t="shared" si="1"/>
        <v>1.6</v>
      </c>
      <c r="D7" s="92">
        <f t="shared" si="1"/>
        <v>0.9</v>
      </c>
      <c r="E7" s="92">
        <f t="shared" si="1"/>
        <v>6.4</v>
      </c>
      <c r="F7" s="92">
        <f t="shared" si="1"/>
        <v>0.9</v>
      </c>
      <c r="G7" s="80">
        <f t="shared" si="1"/>
        <v>0.1</v>
      </c>
      <c r="H7" s="81">
        <f>SUM(B7:G7)</f>
        <v>12.4</v>
      </c>
      <c r="J7" t="s">
        <v>182</v>
      </c>
      <c r="K7" s="163">
        <f>CHIDIST(K5,K4)</f>
        <v>2.9699459203520202E-2</v>
      </c>
      <c r="M7" s="22" t="s">
        <v>1155</v>
      </c>
    </row>
    <row r="8" spans="1:13" x14ac:dyDescent="0.25">
      <c r="J8" t="s">
        <v>381</v>
      </c>
      <c r="K8" s="152" t="str">
        <f>IF(K7&lt;K3,"yes","no")</f>
        <v>yes</v>
      </c>
      <c r="M8" t="e">
        <f ca="1">FTEXT(K8)</f>
        <v>#NAME?</v>
      </c>
    </row>
    <row r="10" spans="1:13" x14ac:dyDescent="0.25">
      <c r="J10" t="s">
        <v>182</v>
      </c>
      <c r="K10" s="205">
        <f>_xlfn.CHISQ.TEST(B4:G4,B5:G5)</f>
        <v>2.9699459203520202E-2</v>
      </c>
      <c r="M10" t="e">
        <f ca="1">FTEXT(K10)</f>
        <v>#NAME?</v>
      </c>
    </row>
    <row r="12" spans="1:13" x14ac:dyDescent="0.25">
      <c r="J12" t="s">
        <v>182</v>
      </c>
      <c r="K12" s="205" t="e">
        <f ca="1">FIT_TEST(B4:G4,B5:G5)</f>
        <v>#NAME?</v>
      </c>
      <c r="M12" t="e">
        <f ca="1">FTEXT(K12)</f>
        <v>#NAME?</v>
      </c>
    </row>
  </sheetData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/>
  </sheetViews>
  <sheetFormatPr defaultRowHeight="15" x14ac:dyDescent="0.25"/>
  <cols>
    <col min="1" max="1" width="8.42578125" customWidth="1"/>
    <col min="2" max="3" width="11.5703125" customWidth="1"/>
    <col min="4" max="4" width="6.28515625" customWidth="1"/>
    <col min="5" max="5" width="11.5703125" customWidth="1"/>
    <col min="7" max="7" width="12.28515625" customWidth="1"/>
  </cols>
  <sheetData>
    <row r="1" spans="1:7" x14ac:dyDescent="0.25">
      <c r="A1" s="1" t="s">
        <v>257</v>
      </c>
    </row>
    <row r="2" spans="1:7" x14ac:dyDescent="0.25">
      <c r="A2" s="1"/>
    </row>
    <row r="3" spans="1:7" s="84" customFormat="1" ht="30" x14ac:dyDescent="0.25">
      <c r="A3" s="83" t="s">
        <v>266</v>
      </c>
      <c r="B3" s="84" t="s">
        <v>258</v>
      </c>
      <c r="C3" s="84" t="s">
        <v>26</v>
      </c>
      <c r="E3" s="84" t="s">
        <v>268</v>
      </c>
      <c r="G3" s="91" t="s">
        <v>270</v>
      </c>
    </row>
    <row r="4" spans="1:7" x14ac:dyDescent="0.25">
      <c r="A4" s="85">
        <v>1</v>
      </c>
      <c r="B4" s="86">
        <v>7</v>
      </c>
      <c r="C4" s="68">
        <v>24</v>
      </c>
      <c r="E4" s="45">
        <f t="shared" ref="E4:E11" si="0">C4*B$12/C$12</f>
        <v>6.4390243902439028</v>
      </c>
      <c r="G4" s="45">
        <f>(B4-E4)^2/E4</f>
        <v>4.8872875092387219E-2</v>
      </c>
    </row>
    <row r="5" spans="1:7" x14ac:dyDescent="0.25">
      <c r="A5" s="87">
        <f>A4+1</f>
        <v>2</v>
      </c>
      <c r="B5" s="88">
        <v>11</v>
      </c>
      <c r="C5" s="70">
        <v>27</v>
      </c>
      <c r="E5" s="39">
        <f t="shared" si="0"/>
        <v>7.2439024390243905</v>
      </c>
      <c r="G5" s="39">
        <f t="shared" ref="G5:G11" si="1">(B5-E5)^2/E5</f>
        <v>1.9476061427280935</v>
      </c>
    </row>
    <row r="6" spans="1:7" x14ac:dyDescent="0.25">
      <c r="A6" s="87">
        <f t="shared" ref="A6:A11" si="2">A5+1</f>
        <v>3</v>
      </c>
      <c r="B6" s="88">
        <v>5</v>
      </c>
      <c r="C6" s="70">
        <v>20</v>
      </c>
      <c r="E6" s="39">
        <f t="shared" si="0"/>
        <v>5.3658536585365857</v>
      </c>
      <c r="G6" s="39">
        <f t="shared" si="1"/>
        <v>2.4944567627494502E-2</v>
      </c>
    </row>
    <row r="7" spans="1:7" x14ac:dyDescent="0.25">
      <c r="A7" s="87">
        <f t="shared" si="2"/>
        <v>4</v>
      </c>
      <c r="B7" s="88">
        <v>6</v>
      </c>
      <c r="C7" s="70">
        <v>22</v>
      </c>
      <c r="E7" s="39">
        <f t="shared" si="0"/>
        <v>5.9024390243902438</v>
      </c>
      <c r="G7" s="39">
        <f t="shared" si="1"/>
        <v>1.6125781092521697E-3</v>
      </c>
    </row>
    <row r="8" spans="1:7" x14ac:dyDescent="0.25">
      <c r="A8" s="87">
        <f t="shared" si="2"/>
        <v>5</v>
      </c>
      <c r="B8" s="88">
        <v>9</v>
      </c>
      <c r="C8" s="70">
        <v>35</v>
      </c>
      <c r="E8" s="39">
        <f t="shared" si="0"/>
        <v>9.3902439024390247</v>
      </c>
      <c r="G8" s="39">
        <f t="shared" si="1"/>
        <v>1.6217928413050392E-2</v>
      </c>
    </row>
    <row r="9" spans="1:7" x14ac:dyDescent="0.25">
      <c r="A9" s="87">
        <f t="shared" si="2"/>
        <v>6</v>
      </c>
      <c r="B9" s="88">
        <v>4</v>
      </c>
      <c r="C9" s="70">
        <v>17</v>
      </c>
      <c r="E9" s="39">
        <f t="shared" si="0"/>
        <v>4.5609756097560972</v>
      </c>
      <c r="G9" s="39">
        <f t="shared" si="1"/>
        <v>6.8997000130429018E-2</v>
      </c>
    </row>
    <row r="10" spans="1:7" x14ac:dyDescent="0.25">
      <c r="A10" s="87">
        <f t="shared" si="2"/>
        <v>7</v>
      </c>
      <c r="B10" s="88">
        <v>5</v>
      </c>
      <c r="C10" s="70">
        <v>32</v>
      </c>
      <c r="E10" s="39">
        <f t="shared" si="0"/>
        <v>8.5853658536585371</v>
      </c>
      <c r="G10" s="39">
        <f t="shared" si="1"/>
        <v>1.497297671840355</v>
      </c>
    </row>
    <row r="11" spans="1:7" x14ac:dyDescent="0.25">
      <c r="A11" s="89">
        <f t="shared" si="2"/>
        <v>8</v>
      </c>
      <c r="B11" s="90">
        <v>8</v>
      </c>
      <c r="C11" s="72">
        <v>28</v>
      </c>
      <c r="E11" s="40">
        <f t="shared" si="0"/>
        <v>7.5121951219512191</v>
      </c>
      <c r="G11" s="40">
        <f t="shared" si="1"/>
        <v>3.1675641431739052E-2</v>
      </c>
    </row>
    <row r="12" spans="1:7" x14ac:dyDescent="0.25">
      <c r="A12" s="81" t="s">
        <v>12</v>
      </c>
      <c r="B12" s="81">
        <f>SUM(B4:B11)</f>
        <v>55</v>
      </c>
      <c r="C12" s="81">
        <f>SUM(C4:C11)</f>
        <v>205</v>
      </c>
      <c r="E12">
        <f>SUM(E4:E11)</f>
        <v>55</v>
      </c>
      <c r="G12">
        <f>SUM(G4:G11)</f>
        <v>3.6372244053728013</v>
      </c>
    </row>
    <row r="14" spans="1:7" x14ac:dyDescent="0.25">
      <c r="A14" t="s">
        <v>140</v>
      </c>
      <c r="B14" s="154">
        <v>0.05</v>
      </c>
    </row>
    <row r="15" spans="1:7" x14ac:dyDescent="0.25">
      <c r="A15" t="s">
        <v>182</v>
      </c>
      <c r="B15" s="163">
        <f>CHITEST(B4:B11,E4:E11)</f>
        <v>0.82048434243635704</v>
      </c>
      <c r="E15" s="22" t="s">
        <v>269</v>
      </c>
    </row>
    <row r="16" spans="1:7" x14ac:dyDescent="0.25">
      <c r="A16" t="s">
        <v>381</v>
      </c>
      <c r="B16" s="152" t="str">
        <f>IF(B15&lt;B14,"yes","no")</f>
        <v>no</v>
      </c>
      <c r="E16" s="22" t="s">
        <v>552</v>
      </c>
    </row>
    <row r="17" spans="1:5" x14ac:dyDescent="0.25">
      <c r="E17" s="22"/>
    </row>
    <row r="18" spans="1:5" x14ac:dyDescent="0.25">
      <c r="A18" s="53" t="s">
        <v>271</v>
      </c>
      <c r="B18" s="154">
        <f>G12</f>
        <v>3.6372244053728013</v>
      </c>
      <c r="E18" s="22" t="s">
        <v>550</v>
      </c>
    </row>
    <row r="19" spans="1:5" x14ac:dyDescent="0.25">
      <c r="A19" s="53" t="s">
        <v>272</v>
      </c>
      <c r="B19" s="163">
        <f>CHIINV(B14,B20)</f>
        <v>14.067140449340167</v>
      </c>
      <c r="E19" s="22" t="s">
        <v>553</v>
      </c>
    </row>
    <row r="20" spans="1:5" x14ac:dyDescent="0.25">
      <c r="A20" s="147" t="s">
        <v>168</v>
      </c>
      <c r="B20" s="163">
        <f>COUNT(B4:B11)-1</f>
        <v>7</v>
      </c>
      <c r="E20" s="22" t="s">
        <v>551</v>
      </c>
    </row>
    <row r="21" spans="1:5" x14ac:dyDescent="0.25">
      <c r="A21" s="147" t="s">
        <v>182</v>
      </c>
      <c r="B21" s="163">
        <f>CHIDIST(B18,B20)</f>
        <v>0.82048434243635704</v>
      </c>
      <c r="E21" s="22" t="s">
        <v>554</v>
      </c>
    </row>
    <row r="22" spans="1:5" x14ac:dyDescent="0.25">
      <c r="A22" s="147" t="s">
        <v>381</v>
      </c>
      <c r="B22" s="152" t="str">
        <f>IF(B18&gt;B19,"yes","no")</f>
        <v>no</v>
      </c>
      <c r="E22" s="22" t="s">
        <v>555</v>
      </c>
    </row>
  </sheetData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F21"/>
  <sheetViews>
    <sheetView workbookViewId="0"/>
  </sheetViews>
  <sheetFormatPr defaultRowHeight="15" x14ac:dyDescent="0.25"/>
  <cols>
    <col min="1" max="1" width="8.7109375" customWidth="1"/>
    <col min="2" max="2" width="7.85546875" customWidth="1"/>
    <col min="3" max="3" width="12" customWidth="1"/>
    <col min="5" max="5" width="3.85546875" customWidth="1"/>
    <col min="6" max="6" width="10.85546875" customWidth="1"/>
  </cols>
  <sheetData>
    <row r="1" spans="1:6" x14ac:dyDescent="0.25">
      <c r="A1" s="1" t="s">
        <v>257</v>
      </c>
    </row>
    <row r="3" spans="1:6" x14ac:dyDescent="0.25">
      <c r="A3" s="81" t="s">
        <v>273</v>
      </c>
      <c r="B3" s="81" t="s">
        <v>87</v>
      </c>
      <c r="C3" s="81" t="s">
        <v>274</v>
      </c>
      <c r="D3" s="19" t="s">
        <v>275</v>
      </c>
      <c r="E3" s="19"/>
      <c r="F3" s="19" t="s">
        <v>270</v>
      </c>
    </row>
    <row r="4" spans="1:6" x14ac:dyDescent="0.25">
      <c r="A4" s="67">
        <v>0</v>
      </c>
      <c r="B4" s="86">
        <v>8</v>
      </c>
      <c r="C4" s="86">
        <f>A4*B4</f>
        <v>0</v>
      </c>
      <c r="D4" s="6">
        <f>POISSON(A4,$B$14,FALSE)*B$12</f>
        <v>9.3775390439976967</v>
      </c>
      <c r="F4" s="45">
        <f t="shared" ref="F4:F11" si="0">(B4-D4)^2/D4</f>
        <v>0.20235733584630589</v>
      </c>
    </row>
    <row r="5" spans="1:6" x14ac:dyDescent="0.25">
      <c r="A5" s="69">
        <f>A4+1</f>
        <v>1</v>
      </c>
      <c r="B5" s="88">
        <v>33</v>
      </c>
      <c r="C5" s="88">
        <f t="shared" ref="C5:C11" si="1">A5*B5</f>
        <v>33</v>
      </c>
      <c r="D5" s="9">
        <f t="shared" ref="D5:D11" si="2">POISSON(A5,$B$14,FALSE)*B$12</f>
        <v>28.695269474632951</v>
      </c>
      <c r="F5" s="39">
        <f t="shared" si="0"/>
        <v>0.64577560118082489</v>
      </c>
    </row>
    <row r="6" spans="1:6" x14ac:dyDescent="0.25">
      <c r="A6" s="69">
        <f t="shared" ref="A6:A11" si="3">A5+1</f>
        <v>2</v>
      </c>
      <c r="B6" s="88">
        <v>43</v>
      </c>
      <c r="C6" s="88">
        <f t="shared" si="1"/>
        <v>86</v>
      </c>
      <c r="D6" s="9">
        <f t="shared" si="2"/>
        <v>43.903762296188425</v>
      </c>
      <c r="F6" s="39">
        <f t="shared" si="0"/>
        <v>1.8604015813074991E-2</v>
      </c>
    </row>
    <row r="7" spans="1:6" x14ac:dyDescent="0.25">
      <c r="A7" s="69">
        <f t="shared" si="3"/>
        <v>3</v>
      </c>
      <c r="B7" s="88">
        <v>40</v>
      </c>
      <c r="C7" s="88">
        <f t="shared" si="1"/>
        <v>120</v>
      </c>
      <c r="D7" s="9">
        <f t="shared" si="2"/>
        <v>44.781837542112193</v>
      </c>
      <c r="F7" s="39">
        <f t="shared" si="0"/>
        <v>0.51060812896859686</v>
      </c>
    </row>
    <row r="8" spans="1:6" x14ac:dyDescent="0.25">
      <c r="A8" s="69">
        <f t="shared" si="3"/>
        <v>4</v>
      </c>
      <c r="B8" s="88">
        <v>34</v>
      </c>
      <c r="C8" s="88">
        <f t="shared" si="1"/>
        <v>136</v>
      </c>
      <c r="D8" s="9">
        <f t="shared" si="2"/>
        <v>34.258105719715836</v>
      </c>
      <c r="F8" s="39">
        <f t="shared" si="0"/>
        <v>1.944607302431496E-3</v>
      </c>
    </row>
    <row r="9" spans="1:6" x14ac:dyDescent="0.25">
      <c r="A9" s="69">
        <f t="shared" si="3"/>
        <v>5</v>
      </c>
      <c r="B9" s="88">
        <v>22</v>
      </c>
      <c r="C9" s="88">
        <f t="shared" si="1"/>
        <v>110</v>
      </c>
      <c r="D9" s="9">
        <f t="shared" si="2"/>
        <v>20.965960700466091</v>
      </c>
      <c r="F9" s="39">
        <f t="shared" si="0"/>
        <v>5.0998725422432299E-2</v>
      </c>
    </row>
    <row r="10" spans="1:6" x14ac:dyDescent="0.25">
      <c r="A10" s="69">
        <f t="shared" si="3"/>
        <v>6</v>
      </c>
      <c r="B10" s="88">
        <v>13</v>
      </c>
      <c r="C10" s="88">
        <f t="shared" si="1"/>
        <v>78</v>
      </c>
      <c r="D10" s="9">
        <f t="shared" si="2"/>
        <v>10.692639957237709</v>
      </c>
      <c r="F10" s="39">
        <f t="shared" si="0"/>
        <v>0.49790420216406084</v>
      </c>
    </row>
    <row r="11" spans="1:6" x14ac:dyDescent="0.25">
      <c r="A11" s="71">
        <f t="shared" si="3"/>
        <v>7</v>
      </c>
      <c r="B11" s="90">
        <v>7</v>
      </c>
      <c r="C11" s="90">
        <f t="shared" si="1"/>
        <v>49</v>
      </c>
      <c r="D11" s="12">
        <f t="shared" si="2"/>
        <v>4.674211181306771</v>
      </c>
      <c r="F11" s="40">
        <f t="shared" si="0"/>
        <v>1.1572634224982037</v>
      </c>
    </row>
    <row r="12" spans="1:6" x14ac:dyDescent="0.25">
      <c r="A12" s="81" t="s">
        <v>12</v>
      </c>
      <c r="B12" s="81">
        <f>SUM(B4:B11)</f>
        <v>200</v>
      </c>
      <c r="C12" s="81">
        <f>SUM(C4:C11)</f>
        <v>612</v>
      </c>
      <c r="F12">
        <f>SUM(F4:F11)</f>
        <v>3.0854560391959307</v>
      </c>
    </row>
    <row r="14" spans="1:6" x14ac:dyDescent="0.25">
      <c r="A14" s="53" t="s">
        <v>277</v>
      </c>
      <c r="B14" s="205">
        <f>C12/B12</f>
        <v>3.06</v>
      </c>
    </row>
    <row r="16" spans="1:6" x14ac:dyDescent="0.25">
      <c r="A16" t="s">
        <v>140</v>
      </c>
      <c r="B16" s="154">
        <v>0.05</v>
      </c>
    </row>
    <row r="17" spans="1:6" x14ac:dyDescent="0.25">
      <c r="A17" t="s">
        <v>168</v>
      </c>
      <c r="B17" s="163">
        <f>COUNT(A4:A11)-2</f>
        <v>6</v>
      </c>
    </row>
    <row r="18" spans="1:6" x14ac:dyDescent="0.25">
      <c r="A18" s="53" t="s">
        <v>271</v>
      </c>
      <c r="B18" s="163">
        <f>F12</f>
        <v>3.0854560391959307</v>
      </c>
    </row>
    <row r="19" spans="1:6" x14ac:dyDescent="0.25">
      <c r="A19" s="53" t="s">
        <v>272</v>
      </c>
      <c r="B19" s="163">
        <f>CHIINV(B16,B17)</f>
        <v>12.591587243743978</v>
      </c>
    </row>
    <row r="20" spans="1:6" x14ac:dyDescent="0.25">
      <c r="A20" t="s">
        <v>182</v>
      </c>
      <c r="B20" s="163">
        <f>CHIDIST(B18,B17)</f>
        <v>0.79804732744566542</v>
      </c>
      <c r="D20" s="205" t="e">
        <f ca="1">FIT_TEST(B4:B11,D4:D11,1)</f>
        <v>#NAME?</v>
      </c>
      <c r="F20" t="e">
        <f ca="1">FTEXT(D20)</f>
        <v>#NAME?</v>
      </c>
    </row>
    <row r="21" spans="1:6" x14ac:dyDescent="0.25">
      <c r="A21" t="s">
        <v>381</v>
      </c>
      <c r="B21" s="152" t="str">
        <f>IF(B20&lt;B16,"yes","no")</f>
        <v>no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4"/>
  <dimension ref="A1:Q22"/>
  <sheetViews>
    <sheetView workbookViewId="0"/>
  </sheetViews>
  <sheetFormatPr defaultRowHeight="15" x14ac:dyDescent="0.25"/>
  <cols>
    <col min="1" max="1" width="11" customWidth="1"/>
    <col min="2" max="2" width="8.140625" customWidth="1"/>
    <col min="3" max="3" width="11.28515625" customWidth="1"/>
    <col min="4" max="4" width="7.42578125" customWidth="1"/>
    <col min="5" max="5" width="7.7109375" customWidth="1"/>
    <col min="6" max="6" width="8.42578125" customWidth="1"/>
    <col min="7" max="7" width="11.28515625" customWidth="1"/>
    <col min="8" max="8" width="9.7109375" customWidth="1"/>
    <col min="9" max="9" width="10.140625" customWidth="1"/>
    <col min="10" max="10" width="8.7109375" customWidth="1"/>
    <col min="11" max="11" width="5.85546875" customWidth="1"/>
  </cols>
  <sheetData>
    <row r="1" spans="1:17" x14ac:dyDescent="0.25">
      <c r="A1" s="1" t="s">
        <v>689</v>
      </c>
    </row>
    <row r="3" spans="1:17" s="24" customFormat="1" x14ac:dyDescent="0.25">
      <c r="A3" s="241" t="s">
        <v>356</v>
      </c>
      <c r="B3" s="242" t="s">
        <v>330</v>
      </c>
      <c r="C3" s="242" t="s">
        <v>331</v>
      </c>
      <c r="D3" s="242" t="s">
        <v>332</v>
      </c>
      <c r="E3" s="242" t="s">
        <v>333</v>
      </c>
      <c r="F3" s="242" t="s">
        <v>334</v>
      </c>
      <c r="G3" s="242" t="s">
        <v>335</v>
      </c>
      <c r="H3" s="242" t="s">
        <v>336</v>
      </c>
      <c r="I3" s="242" t="s">
        <v>1242</v>
      </c>
      <c r="J3" s="242" t="s">
        <v>23</v>
      </c>
      <c r="L3" s="24" t="str">
        <f>A3</f>
        <v>State</v>
      </c>
      <c r="M3" s="24" t="str">
        <f>B3</f>
        <v>Poverty</v>
      </c>
      <c r="N3" s="24" t="str">
        <f>C3</f>
        <v>Infant Mort</v>
      </c>
      <c r="O3" s="24" t="str">
        <f>F3</f>
        <v>Doctors</v>
      </c>
      <c r="P3" s="24" t="str">
        <f>G3</f>
        <v>Traf Deaths</v>
      </c>
      <c r="Q3" s="24" t="str">
        <f>J3</f>
        <v>Income</v>
      </c>
    </row>
    <row r="4" spans="1:17" s="24" customFormat="1" x14ac:dyDescent="0.25">
      <c r="A4" s="237" t="s">
        <v>337</v>
      </c>
      <c r="B4" s="243">
        <v>15.7</v>
      </c>
      <c r="C4" s="244">
        <v>9</v>
      </c>
      <c r="D4" s="245">
        <v>71.027177760140717</v>
      </c>
      <c r="E4" s="246">
        <v>448</v>
      </c>
      <c r="F4" s="247">
        <v>218.17340830567619</v>
      </c>
      <c r="G4" s="248">
        <v>1.81</v>
      </c>
      <c r="H4" s="249">
        <v>22</v>
      </c>
      <c r="I4" s="250">
        <v>5</v>
      </c>
      <c r="J4" s="251">
        <v>42666</v>
      </c>
      <c r="L4" s="24" t="str">
        <f t="shared" ref="L4:L22" si="0">A4</f>
        <v>Alabama</v>
      </c>
      <c r="M4" s="24">
        <f t="shared" ref="M4:M22" si="1">B4</f>
        <v>15.7</v>
      </c>
      <c r="N4" s="24">
        <f t="shared" ref="N4:N22" si="2">C4</f>
        <v>9</v>
      </c>
      <c r="O4" s="24">
        <f t="shared" ref="O4:O22" si="3">F4</f>
        <v>218.17340830567619</v>
      </c>
      <c r="P4" s="24">
        <f t="shared" ref="P4:P22" si="4">G4</f>
        <v>1.81</v>
      </c>
      <c r="Q4" s="24">
        <f t="shared" ref="Q4:Q22" si="5">J4</f>
        <v>42666</v>
      </c>
    </row>
    <row r="5" spans="1:17" s="24" customFormat="1" x14ac:dyDescent="0.25">
      <c r="A5" s="237" t="s">
        <v>338</v>
      </c>
      <c r="B5" s="243">
        <v>8.4</v>
      </c>
      <c r="C5" s="244">
        <v>6.9</v>
      </c>
      <c r="D5" s="245">
        <v>70.62318863808899</v>
      </c>
      <c r="E5" s="246">
        <v>661.2</v>
      </c>
      <c r="F5" s="247">
        <v>228.45028196578826</v>
      </c>
      <c r="G5" s="248">
        <v>1.63</v>
      </c>
      <c r="H5" s="249">
        <v>27.3</v>
      </c>
      <c r="I5" s="250">
        <v>6.7</v>
      </c>
      <c r="J5" s="251">
        <v>68460</v>
      </c>
      <c r="L5" s="24" t="str">
        <f t="shared" si="0"/>
        <v>Alaska</v>
      </c>
      <c r="M5" s="24">
        <f t="shared" si="1"/>
        <v>8.4</v>
      </c>
      <c r="N5" s="24">
        <f t="shared" si="2"/>
        <v>6.9</v>
      </c>
      <c r="O5" s="24">
        <f t="shared" si="3"/>
        <v>228.45028196578826</v>
      </c>
      <c r="P5" s="24">
        <f t="shared" si="4"/>
        <v>1.63</v>
      </c>
      <c r="Q5" s="24">
        <f t="shared" si="5"/>
        <v>68460</v>
      </c>
    </row>
    <row r="6" spans="1:17" s="24" customFormat="1" x14ac:dyDescent="0.25">
      <c r="A6" s="237" t="s">
        <v>339</v>
      </c>
      <c r="B6" s="243">
        <v>14.7</v>
      </c>
      <c r="C6" s="244">
        <v>6.4</v>
      </c>
      <c r="D6" s="245">
        <v>86.505696765320337</v>
      </c>
      <c r="E6" s="246">
        <v>482.7</v>
      </c>
      <c r="F6" s="247">
        <v>209.66657175716827</v>
      </c>
      <c r="G6" s="248">
        <v>1.69</v>
      </c>
      <c r="H6" s="249">
        <v>25.1</v>
      </c>
      <c r="I6" s="250">
        <v>5.5</v>
      </c>
      <c r="J6" s="251">
        <v>50958</v>
      </c>
      <c r="L6" s="24" t="str">
        <f t="shared" si="0"/>
        <v>Arizona</v>
      </c>
      <c r="M6" s="24">
        <f t="shared" si="1"/>
        <v>14.7</v>
      </c>
      <c r="N6" s="24">
        <f t="shared" si="2"/>
        <v>6.4</v>
      </c>
      <c r="O6" s="24">
        <f t="shared" si="3"/>
        <v>209.66657175716827</v>
      </c>
      <c r="P6" s="24">
        <f t="shared" si="4"/>
        <v>1.69</v>
      </c>
      <c r="Q6" s="24">
        <f t="shared" si="5"/>
        <v>50958</v>
      </c>
    </row>
    <row r="7" spans="1:17" s="24" customFormat="1" x14ac:dyDescent="0.25">
      <c r="A7" s="237" t="s">
        <v>340</v>
      </c>
      <c r="B7" s="243">
        <v>17.3</v>
      </c>
      <c r="C7" s="244">
        <v>8.5</v>
      </c>
      <c r="D7" s="245">
        <v>80.783955956979611</v>
      </c>
      <c r="E7" s="246">
        <v>529.4</v>
      </c>
      <c r="F7" s="247">
        <v>203.42285988234826</v>
      </c>
      <c r="G7" s="248">
        <v>1.96</v>
      </c>
      <c r="H7" s="249">
        <v>18.8</v>
      </c>
      <c r="I7" s="250">
        <v>5.0999999999999996</v>
      </c>
      <c r="J7" s="251">
        <v>38815</v>
      </c>
      <c r="L7" s="24" t="str">
        <f t="shared" si="0"/>
        <v>Arkansas</v>
      </c>
      <c r="M7" s="24">
        <f t="shared" si="1"/>
        <v>17.3</v>
      </c>
      <c r="N7" s="24">
        <f t="shared" si="2"/>
        <v>8.5</v>
      </c>
      <c r="O7" s="24">
        <f t="shared" si="3"/>
        <v>203.42285988234826</v>
      </c>
      <c r="P7" s="24">
        <f t="shared" si="4"/>
        <v>1.96</v>
      </c>
      <c r="Q7" s="24">
        <f t="shared" si="5"/>
        <v>38815</v>
      </c>
    </row>
    <row r="8" spans="1:17" s="24" customFormat="1" x14ac:dyDescent="0.25">
      <c r="A8" s="237" t="s">
        <v>341</v>
      </c>
      <c r="B8" s="243">
        <v>13.3</v>
      </c>
      <c r="C8" s="244">
        <v>5</v>
      </c>
      <c r="D8" s="245">
        <v>76.640052174481781</v>
      </c>
      <c r="E8" s="246">
        <v>522.6</v>
      </c>
      <c r="F8" s="247">
        <v>268.69056049813605</v>
      </c>
      <c r="G8" s="248">
        <v>1.21</v>
      </c>
      <c r="H8" s="249">
        <v>29.6</v>
      </c>
      <c r="I8" s="250">
        <v>7.2</v>
      </c>
      <c r="J8" s="251">
        <v>61021</v>
      </c>
      <c r="L8" s="24" t="str">
        <f t="shared" si="0"/>
        <v>California</v>
      </c>
      <c r="M8" s="24">
        <f t="shared" si="1"/>
        <v>13.3</v>
      </c>
      <c r="N8" s="24">
        <f t="shared" si="2"/>
        <v>5</v>
      </c>
      <c r="O8" s="24">
        <f t="shared" si="3"/>
        <v>268.69056049813605</v>
      </c>
      <c r="P8" s="24">
        <f t="shared" si="4"/>
        <v>1.21</v>
      </c>
      <c r="Q8" s="24">
        <f t="shared" si="5"/>
        <v>61021</v>
      </c>
    </row>
    <row r="9" spans="1:17" s="24" customFormat="1" x14ac:dyDescent="0.25">
      <c r="A9" s="237" t="s">
        <v>342</v>
      </c>
      <c r="B9" s="243">
        <v>11.4</v>
      </c>
      <c r="C9" s="244">
        <v>5.7</v>
      </c>
      <c r="D9" s="245">
        <v>89.734092175332663</v>
      </c>
      <c r="E9" s="246">
        <v>347.8</v>
      </c>
      <c r="F9" s="247">
        <v>259.68608874672964</v>
      </c>
      <c r="G9" s="248">
        <v>1.1399999999999999</v>
      </c>
      <c r="H9" s="249">
        <v>35.6</v>
      </c>
      <c r="I9" s="250">
        <v>4.9000000000000004</v>
      </c>
      <c r="J9" s="251">
        <v>56993</v>
      </c>
      <c r="L9" s="24" t="str">
        <f t="shared" si="0"/>
        <v>Colorado</v>
      </c>
      <c r="M9" s="24">
        <f t="shared" si="1"/>
        <v>11.4</v>
      </c>
      <c r="N9" s="24">
        <f t="shared" si="2"/>
        <v>5.7</v>
      </c>
      <c r="O9" s="24">
        <f t="shared" si="3"/>
        <v>259.68608874672964</v>
      </c>
      <c r="P9" s="24">
        <f t="shared" si="4"/>
        <v>1.1399999999999999</v>
      </c>
      <c r="Q9" s="24">
        <f t="shared" si="5"/>
        <v>56993</v>
      </c>
    </row>
    <row r="10" spans="1:17" s="24" customFormat="1" x14ac:dyDescent="0.25">
      <c r="A10" s="237" t="s">
        <v>343</v>
      </c>
      <c r="B10" s="243">
        <v>9.3000000000000007</v>
      </c>
      <c r="C10" s="244">
        <v>6.2</v>
      </c>
      <c r="D10" s="245">
        <v>84.278652322083644</v>
      </c>
      <c r="E10" s="246">
        <v>256</v>
      </c>
      <c r="F10" s="247">
        <v>376.3752669155395</v>
      </c>
      <c r="G10" s="248">
        <v>0.86</v>
      </c>
      <c r="H10" s="249">
        <v>35.6</v>
      </c>
      <c r="I10" s="250">
        <v>5.7</v>
      </c>
      <c r="J10" s="251">
        <v>68595</v>
      </c>
      <c r="L10" s="24" t="str">
        <f t="shared" si="0"/>
        <v>Connecticut</v>
      </c>
      <c r="M10" s="24">
        <f t="shared" si="1"/>
        <v>9.3000000000000007</v>
      </c>
      <c r="N10" s="24">
        <f t="shared" si="2"/>
        <v>6.2</v>
      </c>
      <c r="O10" s="24">
        <f t="shared" si="3"/>
        <v>376.3752669155395</v>
      </c>
      <c r="P10" s="24">
        <f t="shared" si="4"/>
        <v>0.86</v>
      </c>
      <c r="Q10" s="24">
        <f t="shared" si="5"/>
        <v>68595</v>
      </c>
    </row>
    <row r="11" spans="1:17" s="24" customFormat="1" x14ac:dyDescent="0.25">
      <c r="A11" s="237" t="s">
        <v>344</v>
      </c>
      <c r="B11" s="252">
        <v>10</v>
      </c>
      <c r="C11" s="244">
        <v>8.3000000000000007</v>
      </c>
      <c r="D11" s="245">
        <v>74.266056727126113</v>
      </c>
      <c r="E11" s="246">
        <v>689.2</v>
      </c>
      <c r="F11" s="247">
        <v>250.94175668510928</v>
      </c>
      <c r="G11" s="248">
        <v>1.23</v>
      </c>
      <c r="H11" s="249">
        <v>27.5</v>
      </c>
      <c r="I11" s="250">
        <v>4.8</v>
      </c>
      <c r="J11" s="251">
        <v>57989</v>
      </c>
      <c r="L11" s="24" t="str">
        <f t="shared" si="0"/>
        <v>Delaware</v>
      </c>
      <c r="M11" s="24">
        <f t="shared" si="1"/>
        <v>10</v>
      </c>
      <c r="N11" s="24">
        <f t="shared" si="2"/>
        <v>8.3000000000000007</v>
      </c>
      <c r="O11" s="24">
        <f t="shared" si="3"/>
        <v>250.94175668510928</v>
      </c>
      <c r="P11" s="24">
        <f t="shared" si="4"/>
        <v>1.23</v>
      </c>
      <c r="Q11" s="24">
        <f t="shared" si="5"/>
        <v>57989</v>
      </c>
    </row>
    <row r="12" spans="1:17" s="24" customFormat="1" x14ac:dyDescent="0.25">
      <c r="A12" s="237" t="s">
        <v>345</v>
      </c>
      <c r="B12" s="243">
        <v>13.2</v>
      </c>
      <c r="C12" s="244">
        <v>7.3</v>
      </c>
      <c r="D12" s="245">
        <v>79.811068541941054</v>
      </c>
      <c r="E12" s="246">
        <v>722.6</v>
      </c>
      <c r="F12" s="247">
        <v>247.86359820579941</v>
      </c>
      <c r="G12" s="248">
        <v>1.56</v>
      </c>
      <c r="H12" s="249">
        <v>25.8</v>
      </c>
      <c r="I12" s="250">
        <v>6.2</v>
      </c>
      <c r="J12" s="251">
        <v>47778</v>
      </c>
      <c r="L12" s="24" t="str">
        <f t="shared" si="0"/>
        <v>Florida</v>
      </c>
      <c r="M12" s="24">
        <f t="shared" si="1"/>
        <v>13.2</v>
      </c>
      <c r="N12" s="24">
        <f t="shared" si="2"/>
        <v>7.3</v>
      </c>
      <c r="O12" s="24">
        <f t="shared" si="3"/>
        <v>247.86359820579941</v>
      </c>
      <c r="P12" s="24">
        <f t="shared" si="4"/>
        <v>1.56</v>
      </c>
      <c r="Q12" s="24">
        <f t="shared" si="5"/>
        <v>47778</v>
      </c>
    </row>
    <row r="13" spans="1:17" s="24" customFormat="1" x14ac:dyDescent="0.25">
      <c r="A13" s="237" t="s">
        <v>346</v>
      </c>
      <c r="B13" s="243">
        <v>14.7</v>
      </c>
      <c r="C13" s="244">
        <v>8.1</v>
      </c>
      <c r="D13" s="245">
        <v>65.387718279566343</v>
      </c>
      <c r="E13" s="246">
        <v>493.2</v>
      </c>
      <c r="F13" s="247">
        <v>217.44570184044454</v>
      </c>
      <c r="G13" s="248">
        <v>1.46</v>
      </c>
      <c r="H13" s="249">
        <v>27.5</v>
      </c>
      <c r="I13" s="250">
        <v>6.2</v>
      </c>
      <c r="J13" s="251">
        <v>50861</v>
      </c>
      <c r="L13" s="24" t="str">
        <f t="shared" si="0"/>
        <v>Georgia</v>
      </c>
      <c r="M13" s="24">
        <f t="shared" si="1"/>
        <v>14.7</v>
      </c>
      <c r="N13" s="24">
        <f t="shared" si="2"/>
        <v>8.1</v>
      </c>
      <c r="O13" s="24">
        <f t="shared" si="3"/>
        <v>217.44570184044454</v>
      </c>
      <c r="P13" s="24">
        <f t="shared" si="4"/>
        <v>1.46</v>
      </c>
      <c r="Q13" s="24">
        <f t="shared" si="5"/>
        <v>50861</v>
      </c>
    </row>
    <row r="14" spans="1:17" s="24" customFormat="1" x14ac:dyDescent="0.25">
      <c r="A14" s="237" t="s">
        <v>347</v>
      </c>
      <c r="B14" s="243">
        <v>9.1</v>
      </c>
      <c r="C14" s="244">
        <v>5.6</v>
      </c>
      <c r="D14" s="245">
        <v>29.667333748383395</v>
      </c>
      <c r="E14" s="246">
        <v>272.8</v>
      </c>
      <c r="F14" s="247">
        <v>316.98289278791503</v>
      </c>
      <c r="G14" s="248">
        <v>1.33</v>
      </c>
      <c r="H14" s="249">
        <v>29.1</v>
      </c>
      <c r="I14" s="250">
        <v>3.9</v>
      </c>
      <c r="J14" s="251">
        <v>67214</v>
      </c>
      <c r="L14" s="24" t="str">
        <f t="shared" si="0"/>
        <v>Hawaii</v>
      </c>
      <c r="M14" s="24">
        <f t="shared" si="1"/>
        <v>9.1</v>
      </c>
      <c r="N14" s="24">
        <f t="shared" si="2"/>
        <v>5.6</v>
      </c>
      <c r="O14" s="24">
        <f t="shared" si="3"/>
        <v>316.98289278791503</v>
      </c>
      <c r="P14" s="24">
        <f t="shared" si="4"/>
        <v>1.33</v>
      </c>
      <c r="Q14" s="24">
        <f t="shared" si="5"/>
        <v>67214</v>
      </c>
    </row>
    <row r="15" spans="1:17" s="24" customFormat="1" x14ac:dyDescent="0.25">
      <c r="A15" s="237" t="s">
        <v>348</v>
      </c>
      <c r="B15" s="243">
        <v>12.6</v>
      </c>
      <c r="C15" s="244">
        <v>6.8</v>
      </c>
      <c r="D15" s="245">
        <v>94.600660447193093</v>
      </c>
      <c r="E15" s="246">
        <v>239.4</v>
      </c>
      <c r="F15" s="247">
        <v>168.83390313104681</v>
      </c>
      <c r="G15" s="248">
        <v>1.6</v>
      </c>
      <c r="H15" s="249">
        <v>24</v>
      </c>
      <c r="I15" s="250">
        <v>4.9000000000000004</v>
      </c>
      <c r="J15" s="251">
        <v>47576</v>
      </c>
      <c r="L15" s="24" t="str">
        <f t="shared" si="0"/>
        <v>Idaho</v>
      </c>
      <c r="M15" s="24">
        <f t="shared" si="1"/>
        <v>12.6</v>
      </c>
      <c r="N15" s="24">
        <f t="shared" si="2"/>
        <v>6.8</v>
      </c>
      <c r="O15" s="24">
        <f t="shared" si="3"/>
        <v>168.83390313104681</v>
      </c>
      <c r="P15" s="24">
        <f t="shared" si="4"/>
        <v>1.6</v>
      </c>
      <c r="Q15" s="24">
        <f t="shared" si="5"/>
        <v>47576</v>
      </c>
    </row>
    <row r="16" spans="1:17" s="24" customFormat="1" x14ac:dyDescent="0.25">
      <c r="A16" s="237" t="s">
        <v>349</v>
      </c>
      <c r="B16" s="243">
        <v>12.2</v>
      </c>
      <c r="C16" s="244">
        <v>7.3</v>
      </c>
      <c r="D16" s="245">
        <v>79.13310968601246</v>
      </c>
      <c r="E16" s="246">
        <v>533.20000000000005</v>
      </c>
      <c r="F16" s="247">
        <v>280.15386787687231</v>
      </c>
      <c r="G16" s="248">
        <v>1.1599999999999999</v>
      </c>
      <c r="H16" s="249">
        <v>29.9</v>
      </c>
      <c r="I16" s="250">
        <v>6.5</v>
      </c>
      <c r="J16" s="251">
        <v>56235</v>
      </c>
      <c r="L16" s="24" t="str">
        <f t="shared" si="0"/>
        <v>Illinois</v>
      </c>
      <c r="M16" s="24">
        <f t="shared" si="1"/>
        <v>12.2</v>
      </c>
      <c r="N16" s="24">
        <f t="shared" si="2"/>
        <v>7.3</v>
      </c>
      <c r="O16" s="24">
        <f t="shared" si="3"/>
        <v>280.15386787687231</v>
      </c>
      <c r="P16" s="24">
        <f t="shared" si="4"/>
        <v>1.1599999999999999</v>
      </c>
      <c r="Q16" s="24">
        <f t="shared" si="5"/>
        <v>56235</v>
      </c>
    </row>
    <row r="17" spans="1:17" s="24" customFormat="1" x14ac:dyDescent="0.25">
      <c r="A17" s="237" t="s">
        <v>350</v>
      </c>
      <c r="B17" s="243">
        <v>13.1</v>
      </c>
      <c r="C17" s="244">
        <v>8</v>
      </c>
      <c r="D17" s="245">
        <v>88.000000627274659</v>
      </c>
      <c r="E17" s="246">
        <v>333.6</v>
      </c>
      <c r="F17" s="247">
        <v>216.93969975987483</v>
      </c>
      <c r="G17" s="248">
        <v>1.26</v>
      </c>
      <c r="H17" s="249">
        <v>22.9</v>
      </c>
      <c r="I17" s="250">
        <v>5.9</v>
      </c>
      <c r="J17" s="251">
        <v>47966</v>
      </c>
      <c r="L17" s="24" t="str">
        <f t="shared" si="0"/>
        <v>Indiana</v>
      </c>
      <c r="M17" s="24">
        <f t="shared" si="1"/>
        <v>13.1</v>
      </c>
      <c r="N17" s="24">
        <f t="shared" si="2"/>
        <v>8</v>
      </c>
      <c r="O17" s="24">
        <f t="shared" si="3"/>
        <v>216.93969975987483</v>
      </c>
      <c r="P17" s="24">
        <f t="shared" si="4"/>
        <v>1.26</v>
      </c>
      <c r="Q17" s="24">
        <f t="shared" si="5"/>
        <v>47966</v>
      </c>
    </row>
    <row r="18" spans="1:17" s="24" customFormat="1" x14ac:dyDescent="0.25">
      <c r="A18" s="237" t="s">
        <v>351</v>
      </c>
      <c r="B18" s="243">
        <v>11.5</v>
      </c>
      <c r="C18" s="244">
        <v>5.0999999999999996</v>
      </c>
      <c r="D18" s="245">
        <v>94.170464820794294</v>
      </c>
      <c r="E18" s="246">
        <v>294.7</v>
      </c>
      <c r="F18" s="247">
        <v>189.28322428402873</v>
      </c>
      <c r="G18" s="248">
        <v>1.42</v>
      </c>
      <c r="H18" s="249">
        <v>24.3</v>
      </c>
      <c r="I18" s="250">
        <v>4.0999999999999996</v>
      </c>
      <c r="J18" s="251">
        <v>48980</v>
      </c>
      <c r="L18" s="24" t="str">
        <f t="shared" si="0"/>
        <v>Iowa</v>
      </c>
      <c r="M18" s="24">
        <f t="shared" si="1"/>
        <v>11.5</v>
      </c>
      <c r="N18" s="24">
        <f t="shared" si="2"/>
        <v>5.0999999999999996</v>
      </c>
      <c r="O18" s="24">
        <f t="shared" si="3"/>
        <v>189.28322428402873</v>
      </c>
      <c r="P18" s="24">
        <f t="shared" si="4"/>
        <v>1.42</v>
      </c>
      <c r="Q18" s="24">
        <f t="shared" si="5"/>
        <v>48980</v>
      </c>
    </row>
    <row r="19" spans="1:17" s="24" customFormat="1" x14ac:dyDescent="0.25">
      <c r="A19" s="237" t="s">
        <v>352</v>
      </c>
      <c r="B19" s="243">
        <v>11.3</v>
      </c>
      <c r="C19" s="244">
        <v>7.1</v>
      </c>
      <c r="D19" s="245">
        <v>88.703716524620162</v>
      </c>
      <c r="E19" s="246">
        <v>452.7</v>
      </c>
      <c r="F19" s="247">
        <v>222.54770859752097</v>
      </c>
      <c r="G19" s="248">
        <v>1.38</v>
      </c>
      <c r="H19" s="249">
        <v>29.6</v>
      </c>
      <c r="I19" s="250">
        <v>4.4000000000000004</v>
      </c>
      <c r="J19" s="251">
        <v>50177</v>
      </c>
      <c r="L19" s="24" t="str">
        <f t="shared" si="0"/>
        <v>Kansas</v>
      </c>
      <c r="M19" s="24">
        <f t="shared" si="1"/>
        <v>11.3</v>
      </c>
      <c r="N19" s="24">
        <f t="shared" si="2"/>
        <v>7.1</v>
      </c>
      <c r="O19" s="24">
        <f t="shared" si="3"/>
        <v>222.54770859752097</v>
      </c>
      <c r="P19" s="24">
        <f t="shared" si="4"/>
        <v>1.38</v>
      </c>
      <c r="Q19" s="24">
        <f t="shared" si="5"/>
        <v>50177</v>
      </c>
    </row>
    <row r="20" spans="1:17" s="24" customFormat="1" x14ac:dyDescent="0.25">
      <c r="A20" s="237" t="s">
        <v>353</v>
      </c>
      <c r="B20" s="243">
        <v>17.3</v>
      </c>
      <c r="C20" s="244">
        <v>7.5</v>
      </c>
      <c r="D20" s="245">
        <v>89.904327345935869</v>
      </c>
      <c r="E20" s="246">
        <v>295</v>
      </c>
      <c r="F20" s="247">
        <v>232.34854500664258</v>
      </c>
      <c r="G20" s="248">
        <v>1.8</v>
      </c>
      <c r="H20" s="249">
        <v>19.7</v>
      </c>
      <c r="I20" s="250">
        <v>6.4</v>
      </c>
      <c r="J20" s="251">
        <v>41538</v>
      </c>
      <c r="L20" s="24" t="str">
        <f t="shared" si="0"/>
        <v>Kentucky</v>
      </c>
      <c r="M20" s="24">
        <f t="shared" si="1"/>
        <v>17.3</v>
      </c>
      <c r="N20" s="24">
        <f t="shared" si="2"/>
        <v>7.5</v>
      </c>
      <c r="O20" s="24">
        <f t="shared" si="3"/>
        <v>232.34854500664258</v>
      </c>
      <c r="P20" s="24">
        <f t="shared" si="4"/>
        <v>1.8</v>
      </c>
      <c r="Q20" s="24">
        <f t="shared" si="5"/>
        <v>41538</v>
      </c>
    </row>
    <row r="21" spans="1:17" s="24" customFormat="1" x14ac:dyDescent="0.25">
      <c r="A21" s="76" t="s">
        <v>354</v>
      </c>
      <c r="B21" s="243">
        <v>17.3</v>
      </c>
      <c r="C21" s="244">
        <v>9.9</v>
      </c>
      <c r="D21" s="253">
        <v>64.839543701408999</v>
      </c>
      <c r="E21" s="246">
        <v>729.5</v>
      </c>
      <c r="F21" s="247">
        <v>262.66146237060713</v>
      </c>
      <c r="G21" s="254">
        <v>2.17</v>
      </c>
      <c r="H21" s="249">
        <v>20.3</v>
      </c>
      <c r="I21" s="255">
        <v>4.5999999999999996</v>
      </c>
      <c r="J21" s="256">
        <v>43733</v>
      </c>
      <c r="L21" s="24" t="str">
        <f t="shared" si="0"/>
        <v>Louisiana</v>
      </c>
      <c r="M21" s="24">
        <f t="shared" si="1"/>
        <v>17.3</v>
      </c>
      <c r="N21" s="24">
        <f t="shared" si="2"/>
        <v>9.9</v>
      </c>
      <c r="O21" s="24">
        <f t="shared" si="3"/>
        <v>262.66146237060713</v>
      </c>
      <c r="P21" s="24">
        <f t="shared" si="4"/>
        <v>2.17</v>
      </c>
      <c r="Q21" s="24">
        <f t="shared" si="5"/>
        <v>43733</v>
      </c>
    </row>
    <row r="22" spans="1:17" s="24" customFormat="1" x14ac:dyDescent="0.25">
      <c r="A22" s="257" t="s">
        <v>355</v>
      </c>
      <c r="B22" s="258">
        <v>12.3</v>
      </c>
      <c r="C22" s="259">
        <v>6.3</v>
      </c>
      <c r="D22" s="260">
        <v>96.389852756187835</v>
      </c>
      <c r="E22" s="261">
        <v>118</v>
      </c>
      <c r="F22" s="262">
        <v>278.39482802923527</v>
      </c>
      <c r="G22" s="263">
        <v>1.22</v>
      </c>
      <c r="H22" s="264">
        <v>25.4</v>
      </c>
      <c r="I22" s="265">
        <v>5.4</v>
      </c>
      <c r="J22" s="266">
        <v>46581</v>
      </c>
      <c r="L22" s="24" t="str">
        <f t="shared" si="0"/>
        <v>Maine</v>
      </c>
      <c r="M22" s="24">
        <f t="shared" si="1"/>
        <v>12.3</v>
      </c>
      <c r="N22" s="24">
        <f t="shared" si="2"/>
        <v>6.3</v>
      </c>
      <c r="O22" s="24">
        <f t="shared" si="3"/>
        <v>278.39482802923527</v>
      </c>
      <c r="P22" s="24">
        <f t="shared" si="4"/>
        <v>1.22</v>
      </c>
      <c r="Q22" s="24">
        <f t="shared" si="5"/>
        <v>46581</v>
      </c>
    </row>
  </sheetData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7"/>
  <dimension ref="A1:G8"/>
  <sheetViews>
    <sheetView workbookViewId="0"/>
  </sheetViews>
  <sheetFormatPr defaultRowHeight="15" x14ac:dyDescent="0.25"/>
  <cols>
    <col min="6" max="6" width="3.42578125" customWidth="1"/>
    <col min="7" max="7" width="21.85546875" customWidth="1"/>
  </cols>
  <sheetData>
    <row r="1" spans="1:7" x14ac:dyDescent="0.25">
      <c r="A1" s="1" t="s">
        <v>1329</v>
      </c>
    </row>
    <row r="2" spans="1:7" x14ac:dyDescent="0.25">
      <c r="D2" t="s">
        <v>63</v>
      </c>
      <c r="E2" s="45">
        <f>AVERAGE(A3:B8)</f>
        <v>10.75</v>
      </c>
      <c r="G2" t="e">
        <f ca="1">FTEXT(E2)</f>
        <v>#NAME?</v>
      </c>
    </row>
    <row r="3" spans="1:7" x14ac:dyDescent="0.25">
      <c r="A3" s="4">
        <v>16</v>
      </c>
      <c r="B3" s="6">
        <v>13</v>
      </c>
      <c r="D3" t="s">
        <v>362</v>
      </c>
      <c r="E3" s="163">
        <f>DEVSQ(A3:B8)</f>
        <v>138.25</v>
      </c>
      <c r="G3" t="e">
        <f ca="1">FTEXT(E3)</f>
        <v>#NAME?</v>
      </c>
    </row>
    <row r="4" spans="1:7" x14ac:dyDescent="0.25">
      <c r="A4" s="166">
        <v>9</v>
      </c>
      <c r="B4" s="167">
        <v>10</v>
      </c>
      <c r="D4" t="s">
        <v>139</v>
      </c>
      <c r="E4" s="163">
        <f>E3/E2</f>
        <v>12.86046511627907</v>
      </c>
      <c r="G4" t="e">
        <f ca="1">FTEXT(E4)</f>
        <v>#NAME?</v>
      </c>
    </row>
    <row r="5" spans="1:7" x14ac:dyDescent="0.25">
      <c r="A5" s="166">
        <v>8</v>
      </c>
      <c r="B5" s="167">
        <v>16</v>
      </c>
      <c r="D5" t="s">
        <v>168</v>
      </c>
      <c r="E5" s="163">
        <f>COUNT(A3:B8)-1</f>
        <v>11</v>
      </c>
      <c r="G5" t="e">
        <f ca="1">FTEXT(E5)</f>
        <v>#NAME?</v>
      </c>
    </row>
    <row r="6" spans="1:7" x14ac:dyDescent="0.25">
      <c r="A6" s="166">
        <v>5</v>
      </c>
      <c r="B6" s="167">
        <v>8</v>
      </c>
      <c r="D6" s="53" t="s">
        <v>182</v>
      </c>
      <c r="E6" s="163">
        <f>CHIDIST(E4,E5)</f>
        <v>0.30254313752414014</v>
      </c>
      <c r="G6" s="22" t="s">
        <v>1330</v>
      </c>
    </row>
    <row r="7" spans="1:7" x14ac:dyDescent="0.25">
      <c r="A7" s="166">
        <v>11</v>
      </c>
      <c r="B7" s="167">
        <v>12</v>
      </c>
      <c r="D7" s="53" t="s">
        <v>140</v>
      </c>
      <c r="E7" s="163">
        <v>0.05</v>
      </c>
    </row>
    <row r="8" spans="1:7" x14ac:dyDescent="0.25">
      <c r="A8" s="148">
        <v>14</v>
      </c>
      <c r="B8" s="153">
        <v>7</v>
      </c>
      <c r="D8" s="53" t="s">
        <v>381</v>
      </c>
      <c r="E8" s="152" t="str">
        <f>IF(E6&lt;0.05,"yes","no")</f>
        <v>no</v>
      </c>
      <c r="G8" t="e">
        <f ca="1">FTEXT(E8)</f>
        <v>#NAME?</v>
      </c>
    </row>
  </sheetData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X30"/>
  <sheetViews>
    <sheetView workbookViewId="0"/>
  </sheetViews>
  <sheetFormatPr defaultRowHeight="15" x14ac:dyDescent="0.25"/>
  <cols>
    <col min="1" max="1" width="12.28515625" customWidth="1"/>
    <col min="6" max="6" width="4.5703125" customWidth="1"/>
    <col min="7" max="7" width="12.28515625" customWidth="1"/>
    <col min="13" max="13" width="12.28515625" customWidth="1"/>
    <col min="17" max="17" width="6.5703125" customWidth="1"/>
    <col min="18" max="18" width="6.7109375" customWidth="1"/>
    <col min="19" max="19" width="14.7109375" customWidth="1"/>
  </cols>
  <sheetData>
    <row r="1" spans="1:24" x14ac:dyDescent="0.25">
      <c r="A1" s="1" t="s">
        <v>281</v>
      </c>
      <c r="M1" s="1" t="s">
        <v>705</v>
      </c>
    </row>
    <row r="2" spans="1:24" x14ac:dyDescent="0.25">
      <c r="A2" s="1"/>
    </row>
    <row r="3" spans="1:24" x14ac:dyDescent="0.25">
      <c r="A3" s="1" t="s">
        <v>282</v>
      </c>
      <c r="G3" s="1" t="s">
        <v>283</v>
      </c>
      <c r="M3" t="s">
        <v>283</v>
      </c>
      <c r="S3" t="s">
        <v>256</v>
      </c>
    </row>
    <row r="5" spans="1:24" ht="15.75" thickBot="1" x14ac:dyDescent="0.3">
      <c r="B5" s="81" t="s">
        <v>298</v>
      </c>
      <c r="C5" s="81" t="s">
        <v>297</v>
      </c>
      <c r="D5" s="81" t="s">
        <v>299</v>
      </c>
      <c r="E5" s="81" t="s">
        <v>12</v>
      </c>
      <c r="H5" s="81" t="s">
        <v>298</v>
      </c>
      <c r="I5" s="81" t="s">
        <v>297</v>
      </c>
      <c r="J5" s="81" t="s">
        <v>299</v>
      </c>
      <c r="K5" s="81" t="s">
        <v>12</v>
      </c>
      <c r="N5" t="str">
        <f>B5</f>
        <v>Univ</v>
      </c>
      <c r="O5" t="str">
        <f>C5</f>
        <v>High Sch</v>
      </c>
      <c r="P5" t="str">
        <f>D5</f>
        <v>None</v>
      </c>
      <c r="Q5" t="s">
        <v>12</v>
      </c>
      <c r="S5" t="s">
        <v>176</v>
      </c>
      <c r="U5" t="s">
        <v>114</v>
      </c>
      <c r="V5">
        <v>0.05</v>
      </c>
    </row>
    <row r="6" spans="1:24" ht="15.75" thickTop="1" x14ac:dyDescent="0.25">
      <c r="A6" t="s">
        <v>294</v>
      </c>
      <c r="B6" s="67">
        <v>20</v>
      </c>
      <c r="C6" s="86">
        <v>15</v>
      </c>
      <c r="D6" s="68">
        <v>10</v>
      </c>
      <c r="E6" s="81">
        <f>SUM(B6:D6)</f>
        <v>45</v>
      </c>
      <c r="G6" t="str">
        <f>A6</f>
        <v>Wealthy</v>
      </c>
      <c r="H6" s="67">
        <f t="shared" ref="H6:J8" si="0">H$9*$K6/$K$9</f>
        <v>17.485714285714284</v>
      </c>
      <c r="I6" s="86">
        <f t="shared" si="0"/>
        <v>13.885714285714286</v>
      </c>
      <c r="J6" s="68">
        <f t="shared" si="0"/>
        <v>13.628571428571428</v>
      </c>
      <c r="K6" s="81">
        <f>E6</f>
        <v>45</v>
      </c>
      <c r="M6" t="str">
        <f>A6</f>
        <v>Wealthy</v>
      </c>
      <c r="N6" s="98">
        <f t="array" ref="N6:P8">MMULT(Q6:Q8,N9:P9)/Q9</f>
        <v>17.485714285714284</v>
      </c>
      <c r="O6" s="99">
        <v>13.885714285714286</v>
      </c>
      <c r="P6" s="100">
        <v>13.628571428571428</v>
      </c>
      <c r="Q6">
        <f>SUM(A6:D6)</f>
        <v>45</v>
      </c>
      <c r="S6" s="58" t="s">
        <v>87</v>
      </c>
      <c r="T6" s="58" t="s">
        <v>312</v>
      </c>
      <c r="U6" s="58" t="s">
        <v>313</v>
      </c>
      <c r="V6" s="58" t="s">
        <v>168</v>
      </c>
    </row>
    <row r="7" spans="1:24" x14ac:dyDescent="0.25">
      <c r="A7" t="s">
        <v>295</v>
      </c>
      <c r="B7" s="69">
        <v>40</v>
      </c>
      <c r="C7" s="88">
        <v>25</v>
      </c>
      <c r="D7" s="70">
        <v>20</v>
      </c>
      <c r="E7" s="81">
        <f>SUM(B7:D7)</f>
        <v>85</v>
      </c>
      <c r="G7" t="str">
        <f>A7</f>
        <v>Middle Class</v>
      </c>
      <c r="H7" s="69">
        <f t="shared" si="0"/>
        <v>33.028571428571432</v>
      </c>
      <c r="I7" s="88">
        <f t="shared" si="0"/>
        <v>26.228571428571428</v>
      </c>
      <c r="J7" s="70">
        <f t="shared" si="0"/>
        <v>25.742857142857144</v>
      </c>
      <c r="K7" s="81">
        <f>E7</f>
        <v>85</v>
      </c>
      <c r="M7" t="str">
        <f>A7</f>
        <v>Middle Class</v>
      </c>
      <c r="N7" s="101">
        <v>33.028571428571432</v>
      </c>
      <c r="O7" s="8">
        <v>26.228571428571428</v>
      </c>
      <c r="P7" s="102">
        <v>25.742857142857144</v>
      </c>
      <c r="Q7">
        <f>SUM(A7:D7)</f>
        <v>85</v>
      </c>
      <c r="S7">
        <f>Q9</f>
        <v>175</v>
      </c>
      <c r="T7">
        <f>COUNT(B6:B8)</f>
        <v>3</v>
      </c>
      <c r="U7">
        <f>COUNT(B6:D6)</f>
        <v>3</v>
      </c>
      <c r="V7">
        <f>(T7-1)*(U7-1)</f>
        <v>4</v>
      </c>
    </row>
    <row r="8" spans="1:24" x14ac:dyDescent="0.25">
      <c r="A8" t="s">
        <v>296</v>
      </c>
      <c r="B8" s="71">
        <v>8</v>
      </c>
      <c r="C8" s="90">
        <v>14</v>
      </c>
      <c r="D8" s="72">
        <v>23</v>
      </c>
      <c r="E8" s="81">
        <f>SUM(B8:D8)</f>
        <v>45</v>
      </c>
      <c r="G8" t="str">
        <f>A8</f>
        <v>Poor</v>
      </c>
      <c r="H8" s="71">
        <f t="shared" si="0"/>
        <v>17.485714285714284</v>
      </c>
      <c r="I8" s="90">
        <f t="shared" si="0"/>
        <v>13.885714285714286</v>
      </c>
      <c r="J8" s="72">
        <f t="shared" si="0"/>
        <v>13.628571428571428</v>
      </c>
      <c r="K8" s="81">
        <f>E8</f>
        <v>45</v>
      </c>
      <c r="M8" t="str">
        <f>A8</f>
        <v>Poor</v>
      </c>
      <c r="N8" s="103">
        <v>17.485714285714284</v>
      </c>
      <c r="O8" s="104">
        <v>13.885714285714286</v>
      </c>
      <c r="P8" s="105">
        <v>13.628571428571428</v>
      </c>
      <c r="Q8">
        <f>SUM(A8:D8)</f>
        <v>45</v>
      </c>
    </row>
    <row r="9" spans="1:24" ht="15.75" thickBot="1" x14ac:dyDescent="0.3">
      <c r="A9" t="s">
        <v>12</v>
      </c>
      <c r="B9" s="81">
        <f>SUM(B6:B8)</f>
        <v>68</v>
      </c>
      <c r="C9" s="81">
        <f>SUM(C6:C8)</f>
        <v>54</v>
      </c>
      <c r="D9" s="81">
        <f>SUM(D6:D8)</f>
        <v>53</v>
      </c>
      <c r="E9" s="81">
        <f>SUM(B9:D9)</f>
        <v>175</v>
      </c>
      <c r="G9" t="str">
        <f>A9</f>
        <v>Total</v>
      </c>
      <c r="H9" s="81">
        <f>B9</f>
        <v>68</v>
      </c>
      <c r="I9" s="81">
        <f>C9</f>
        <v>54</v>
      </c>
      <c r="J9" s="81">
        <f>D9</f>
        <v>53</v>
      </c>
      <c r="K9" s="81">
        <f>E9</f>
        <v>175</v>
      </c>
      <c r="M9" t="s">
        <v>12</v>
      </c>
      <c r="N9">
        <f>SUM(B5:B8)</f>
        <v>68</v>
      </c>
      <c r="O9">
        <f>SUM(C5:C8)</f>
        <v>54</v>
      </c>
      <c r="P9">
        <f>SUM(D5:D8)</f>
        <v>53</v>
      </c>
      <c r="Q9">
        <f>SUM(Q6:Q8)</f>
        <v>175</v>
      </c>
      <c r="S9" t="s">
        <v>314</v>
      </c>
    </row>
    <row r="10" spans="1:24" ht="15.75" thickTop="1" x14ac:dyDescent="0.25">
      <c r="S10" s="58" t="s">
        <v>181</v>
      </c>
      <c r="T10" s="58" t="s">
        <v>264</v>
      </c>
      <c r="U10" s="58" t="s">
        <v>182</v>
      </c>
      <c r="V10" s="58" t="s">
        <v>276</v>
      </c>
      <c r="W10" s="58" t="s">
        <v>381</v>
      </c>
      <c r="X10" s="58" t="s">
        <v>316</v>
      </c>
    </row>
    <row r="11" spans="1:24" x14ac:dyDescent="0.25">
      <c r="A11" s="1" t="s">
        <v>256</v>
      </c>
      <c r="G11" s="1" t="s">
        <v>300</v>
      </c>
      <c r="S11" t="s">
        <v>315</v>
      </c>
      <c r="T11" t="e">
        <f ca="1">CHI_STAT2(B6:D8,N6:P8)</f>
        <v>#NAME?</v>
      </c>
      <c r="U11" t="e">
        <f ca="1">CHIDIST(T11,V7)</f>
        <v>#NAME?</v>
      </c>
      <c r="V11">
        <f>CHIINV(V5,V7)</f>
        <v>9.4877290367811575</v>
      </c>
      <c r="W11" s="222" t="e">
        <f ca="1">IF(V11&lt;T11,"yes","no")</f>
        <v>#NAME?</v>
      </c>
      <c r="X11" t="e">
        <f ca="1">SQRT(T11/(S7*(MIN(T7,U7)-1)))</f>
        <v>#NAME?</v>
      </c>
    </row>
    <row r="12" spans="1:24" x14ac:dyDescent="0.25">
      <c r="S12" t="s">
        <v>317</v>
      </c>
      <c r="T12" t="e">
        <f ca="1">CHI_MAX2(B6:D8,N6:P8)</f>
        <v>#NAME?</v>
      </c>
      <c r="U12" t="e">
        <f ca="1">CHIDIST(T12,V7)</f>
        <v>#NAME?</v>
      </c>
      <c r="V12">
        <f>CHIINV(V5,V7)</f>
        <v>9.4877290367811575</v>
      </c>
      <c r="W12" s="222" t="e">
        <f ca="1">IF(V12&lt;T12,"yes","no")</f>
        <v>#NAME?</v>
      </c>
      <c r="X12" t="e">
        <f ca="1">SQRT(T12/(S7*(MIN(T7,U7)-1)))</f>
        <v>#NAME?</v>
      </c>
    </row>
    <row r="13" spans="1:24" x14ac:dyDescent="0.25">
      <c r="A13" t="s">
        <v>140</v>
      </c>
      <c r="B13" s="154">
        <v>0.05</v>
      </c>
      <c r="H13" s="81" t="str">
        <f>B5</f>
        <v>Univ</v>
      </c>
      <c r="I13" s="81" t="str">
        <f>C5</f>
        <v>High Sch</v>
      </c>
      <c r="J13" s="81" t="str">
        <f>D5</f>
        <v>None</v>
      </c>
      <c r="K13" s="81" t="str">
        <f>E5</f>
        <v>Total</v>
      </c>
      <c r="S13" s="106"/>
      <c r="T13" s="106"/>
      <c r="U13" s="106"/>
      <c r="V13" s="106"/>
      <c r="W13" s="106"/>
      <c r="X13" s="106"/>
    </row>
    <row r="14" spans="1:24" x14ac:dyDescent="0.25">
      <c r="A14" t="s">
        <v>168</v>
      </c>
      <c r="B14" s="163">
        <f>(COUNT(H6:J6)-1)*(COUNT(H6:H8)-1)</f>
        <v>4</v>
      </c>
      <c r="G14" t="str">
        <f>A6</f>
        <v>Wealthy</v>
      </c>
      <c r="H14" s="67">
        <f t="array" ref="H14:J16">MMULT(K14:K16,H17:J17)/K17</f>
        <v>17.485714285714284</v>
      </c>
      <c r="I14" s="86">
        <v>13.885714285714286</v>
      </c>
      <c r="J14" s="68">
        <v>13.628571428571428</v>
      </c>
      <c r="K14" s="81">
        <f>E6</f>
        <v>45</v>
      </c>
    </row>
    <row r="15" spans="1:24" x14ac:dyDescent="0.25">
      <c r="A15" t="s">
        <v>182</v>
      </c>
      <c r="B15" s="155">
        <f>CHITEST(B6:D8,H6:J8)</f>
        <v>3.2732287902881591E-3</v>
      </c>
      <c r="G15" t="str">
        <f>A7</f>
        <v>Middle Class</v>
      </c>
      <c r="H15" s="69">
        <v>33.028571428571432</v>
      </c>
      <c r="I15" s="88">
        <v>26.228571428571428</v>
      </c>
      <c r="J15" s="70">
        <v>25.742857142857144</v>
      </c>
      <c r="K15" s="81">
        <f>E7</f>
        <v>85</v>
      </c>
    </row>
    <row r="16" spans="1:24" x14ac:dyDescent="0.25">
      <c r="G16" t="str">
        <f>A8</f>
        <v>Poor</v>
      </c>
      <c r="H16" s="71">
        <v>17.485714285714284</v>
      </c>
      <c r="I16" s="90">
        <v>13.885714285714286</v>
      </c>
      <c r="J16" s="72">
        <v>13.628571428571428</v>
      </c>
      <c r="K16" s="81">
        <f>E8</f>
        <v>45</v>
      </c>
      <c r="S16" t="s">
        <v>1002</v>
      </c>
    </row>
    <row r="17" spans="1:21" x14ac:dyDescent="0.25">
      <c r="A17" t="s">
        <v>556</v>
      </c>
      <c r="G17" t="str">
        <f>A9</f>
        <v>Total</v>
      </c>
      <c r="H17" s="81">
        <f>B9</f>
        <v>68</v>
      </c>
      <c r="I17" s="81">
        <f>C9</f>
        <v>54</v>
      </c>
      <c r="J17" s="81">
        <f>D9</f>
        <v>53</v>
      </c>
      <c r="K17" s="81">
        <f>E9</f>
        <v>175</v>
      </c>
    </row>
    <row r="18" spans="1:21" ht="15.75" thickBot="1" x14ac:dyDescent="0.3">
      <c r="S18" t="s">
        <v>314</v>
      </c>
    </row>
    <row r="19" spans="1:21" ht="15.75" thickTop="1" x14ac:dyDescent="0.25">
      <c r="A19" t="s">
        <v>293</v>
      </c>
      <c r="S19" s="291" t="s">
        <v>181</v>
      </c>
      <c r="T19" s="291" t="s">
        <v>264</v>
      </c>
      <c r="U19" s="291" t="s">
        <v>182</v>
      </c>
    </row>
    <row r="20" spans="1:21" x14ac:dyDescent="0.25">
      <c r="S20" s="292" t="s">
        <v>315</v>
      </c>
      <c r="T20" s="292" t="e">
        <f ca="1">CHI_STAT(B6:D8)</f>
        <v>#NAME?</v>
      </c>
      <c r="U20" s="292" t="e">
        <f ca="1">CHI_TEST(B6:D8)</f>
        <v>#NAME?</v>
      </c>
    </row>
    <row r="21" spans="1:21" x14ac:dyDescent="0.25">
      <c r="B21" s="19" t="str">
        <f>B5</f>
        <v>Univ</v>
      </c>
      <c r="C21" s="19" t="str">
        <f>C5</f>
        <v>High Sch</v>
      </c>
      <c r="D21" s="19" t="str">
        <f>D5</f>
        <v>None</v>
      </c>
      <c r="S21" s="276" t="s">
        <v>317</v>
      </c>
      <c r="T21" s="276" t="e">
        <f ca="1">CHI_MAX(B6:D8)</f>
        <v>#NAME?</v>
      </c>
      <c r="U21" s="276" t="e">
        <f ca="1">CHI_MAX_TEST(B6:D8)</f>
        <v>#NAME?</v>
      </c>
    </row>
    <row r="22" spans="1:21" x14ac:dyDescent="0.25">
      <c r="A22" t="str">
        <f>A6</f>
        <v>Wealthy</v>
      </c>
      <c r="B22" s="156">
        <f t="shared" ref="B22:D24" si="1">(B6-H6)^2/H6</f>
        <v>0.36153127917833849</v>
      </c>
      <c r="C22" s="171">
        <f t="shared" si="1"/>
        <v>8.9417989417989355E-2</v>
      </c>
      <c r="D22" s="172">
        <f t="shared" si="1"/>
        <v>0.96609763402216209</v>
      </c>
    </row>
    <row r="23" spans="1:21" x14ac:dyDescent="0.25">
      <c r="A23" t="str">
        <f>A7</f>
        <v>Middle Class</v>
      </c>
      <c r="B23" s="166">
        <f t="shared" si="1"/>
        <v>1.4714780029658905</v>
      </c>
      <c r="C23" s="8">
        <f t="shared" si="1"/>
        <v>5.7547463429816301E-2</v>
      </c>
      <c r="D23" s="167">
        <f t="shared" si="1"/>
        <v>1.2811479308704619</v>
      </c>
    </row>
    <row r="24" spans="1:21" x14ac:dyDescent="0.25">
      <c r="A24" t="str">
        <f>A8</f>
        <v>Poor</v>
      </c>
      <c r="B24" s="148">
        <f t="shared" si="1"/>
        <v>5.1458450046685327</v>
      </c>
      <c r="C24" s="149">
        <f t="shared" si="1"/>
        <v>9.4062316284537837E-4</v>
      </c>
      <c r="D24" s="153">
        <f t="shared" si="1"/>
        <v>6.4440850554058118</v>
      </c>
    </row>
    <row r="26" spans="1:21" x14ac:dyDescent="0.25">
      <c r="A26" t="s">
        <v>140</v>
      </c>
      <c r="B26" s="154">
        <v>0.05</v>
      </c>
    </row>
    <row r="27" spans="1:21" x14ac:dyDescent="0.25">
      <c r="A27" s="53" t="s">
        <v>271</v>
      </c>
      <c r="B27" s="163">
        <f>SUM(B22:D24)</f>
        <v>15.818090983121849</v>
      </c>
    </row>
    <row r="28" spans="1:21" x14ac:dyDescent="0.25">
      <c r="A28" t="s">
        <v>168</v>
      </c>
      <c r="B28" s="163">
        <f>B14</f>
        <v>4</v>
      </c>
    </row>
    <row r="29" spans="1:21" x14ac:dyDescent="0.25">
      <c r="A29" t="s">
        <v>182</v>
      </c>
      <c r="B29" s="163">
        <f>CHIDIST(B27,B28)</f>
        <v>3.2732287902881591E-3</v>
      </c>
    </row>
    <row r="30" spans="1:21" x14ac:dyDescent="0.25">
      <c r="A30" s="53" t="s">
        <v>272</v>
      </c>
      <c r="B30" s="155">
        <f>CHIINV(B26,B28)</f>
        <v>9.4877290367811575</v>
      </c>
    </row>
  </sheetData>
  <pageMargins left="0.7" right="0.7" top="0.75" bottom="0.75" header="0.3" footer="0.3"/>
  <pageSetup paperSize="9"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N24"/>
  <sheetViews>
    <sheetView workbookViewId="0"/>
  </sheetViews>
  <sheetFormatPr defaultRowHeight="15" x14ac:dyDescent="0.25"/>
  <cols>
    <col min="1" max="1" width="11.28515625" customWidth="1"/>
    <col min="2" max="4" width="9.140625" customWidth="1"/>
    <col min="5" max="5" width="5.7109375" customWidth="1"/>
    <col min="6" max="6" width="10.7109375" customWidth="1"/>
    <col min="10" max="10" width="6.140625" customWidth="1"/>
    <col min="11" max="11" width="9.7109375" customWidth="1"/>
    <col min="13" max="13" width="9.140625" customWidth="1"/>
    <col min="16" max="16" width="12" customWidth="1"/>
    <col min="21" max="21" width="14.7109375" customWidth="1"/>
  </cols>
  <sheetData>
    <row r="1" spans="1:14" x14ac:dyDescent="0.25">
      <c r="A1" s="1" t="s">
        <v>281</v>
      </c>
    </row>
    <row r="2" spans="1:14" x14ac:dyDescent="0.25">
      <c r="A2" s="93"/>
    </row>
    <row r="3" spans="1:14" x14ac:dyDescent="0.25">
      <c r="A3" s="94" t="s">
        <v>282</v>
      </c>
      <c r="F3" s="1" t="s">
        <v>283</v>
      </c>
      <c r="K3" s="1" t="s">
        <v>284</v>
      </c>
    </row>
    <row r="5" spans="1:14" x14ac:dyDescent="0.25">
      <c r="B5" s="19" t="s">
        <v>285</v>
      </c>
      <c r="C5" s="19" t="s">
        <v>286</v>
      </c>
      <c r="D5" s="19" t="s">
        <v>12</v>
      </c>
      <c r="G5" s="19" t="s">
        <v>285</v>
      </c>
      <c r="H5" s="19" t="s">
        <v>286</v>
      </c>
      <c r="I5" s="19" t="s">
        <v>12</v>
      </c>
      <c r="L5" s="19" t="s">
        <v>285</v>
      </c>
      <c r="M5" s="19" t="s">
        <v>286</v>
      </c>
      <c r="N5" s="19" t="s">
        <v>12</v>
      </c>
    </row>
    <row r="6" spans="1:14" x14ac:dyDescent="0.25">
      <c r="A6" t="s">
        <v>287</v>
      </c>
      <c r="B6" s="4">
        <v>31</v>
      </c>
      <c r="C6" s="6">
        <v>57</v>
      </c>
      <c r="D6">
        <f>SUM(B6:C6)</f>
        <v>88</v>
      </c>
      <c r="F6" t="s">
        <v>287</v>
      </c>
      <c r="G6" s="4">
        <f>I6*G8/I8</f>
        <v>24.64</v>
      </c>
      <c r="H6" s="6">
        <f>I6*H8/I8</f>
        <v>63.36</v>
      </c>
      <c r="I6">
        <f>D6</f>
        <v>88</v>
      </c>
      <c r="K6" t="s">
        <v>287</v>
      </c>
      <c r="L6" s="4">
        <f t="array" ref="L6:M7">MMULT(N6:N7,L8:M8)/N8</f>
        <v>24.64</v>
      </c>
      <c r="M6" s="6">
        <v>63.36</v>
      </c>
      <c r="N6">
        <f>D6</f>
        <v>88</v>
      </c>
    </row>
    <row r="7" spans="1:14" x14ac:dyDescent="0.25">
      <c r="A7" t="s">
        <v>288</v>
      </c>
      <c r="B7" s="10">
        <v>11</v>
      </c>
      <c r="C7" s="12">
        <v>51</v>
      </c>
      <c r="D7">
        <f>SUM(B7:C7)</f>
        <v>62</v>
      </c>
      <c r="F7" t="s">
        <v>288</v>
      </c>
      <c r="G7" s="10">
        <f>I7*G8/I8</f>
        <v>17.36</v>
      </c>
      <c r="H7" s="12">
        <f>I7*H8/I8</f>
        <v>44.64</v>
      </c>
      <c r="I7">
        <f>D7</f>
        <v>62</v>
      </c>
      <c r="K7" t="s">
        <v>288</v>
      </c>
      <c r="L7" s="10">
        <v>17.36</v>
      </c>
      <c r="M7" s="12">
        <v>44.64</v>
      </c>
      <c r="N7">
        <f>D7</f>
        <v>62</v>
      </c>
    </row>
    <row r="8" spans="1:14" x14ac:dyDescent="0.25">
      <c r="A8" t="s">
        <v>12</v>
      </c>
      <c r="B8">
        <f>SUM(B6:B7)</f>
        <v>42</v>
      </c>
      <c r="C8">
        <f>SUM(C6:C7)</f>
        <v>108</v>
      </c>
      <c r="D8">
        <f>SUM(D6:D7)</f>
        <v>150</v>
      </c>
      <c r="F8" t="s">
        <v>12</v>
      </c>
      <c r="G8">
        <f>B8</f>
        <v>42</v>
      </c>
      <c r="H8">
        <f>C8</f>
        <v>108</v>
      </c>
      <c r="I8">
        <f>D8</f>
        <v>150</v>
      </c>
      <c r="K8" t="s">
        <v>12</v>
      </c>
      <c r="L8">
        <f>B8</f>
        <v>42</v>
      </c>
      <c r="M8">
        <f>C8</f>
        <v>108</v>
      </c>
      <c r="N8">
        <f>D8</f>
        <v>150</v>
      </c>
    </row>
    <row r="10" spans="1:14" x14ac:dyDescent="0.25">
      <c r="A10" s="1" t="s">
        <v>281</v>
      </c>
      <c r="F10" s="1" t="s">
        <v>289</v>
      </c>
    </row>
    <row r="12" spans="1:14" x14ac:dyDescent="0.25">
      <c r="A12" t="s">
        <v>290</v>
      </c>
      <c r="F12" t="s">
        <v>291</v>
      </c>
    </row>
    <row r="14" spans="1:14" x14ac:dyDescent="0.25">
      <c r="B14" s="19" t="s">
        <v>285</v>
      </c>
      <c r="C14" s="19" t="s">
        <v>286</v>
      </c>
      <c r="D14" s="19" t="s">
        <v>12</v>
      </c>
      <c r="G14" s="19" t="s">
        <v>285</v>
      </c>
      <c r="H14" s="19" t="s">
        <v>286</v>
      </c>
      <c r="I14" s="19" t="s">
        <v>12</v>
      </c>
    </row>
    <row r="15" spans="1:14" x14ac:dyDescent="0.25">
      <c r="A15" t="s">
        <v>287</v>
      </c>
      <c r="B15" s="4">
        <f>(B6-G6)^2/G6</f>
        <v>1.6416233766233761</v>
      </c>
      <c r="C15" s="6">
        <f>(C6-H6)^2/H6</f>
        <v>0.6384090909090907</v>
      </c>
      <c r="D15">
        <f>SUM(B15:C15)</f>
        <v>2.2800324675324668</v>
      </c>
      <c r="F15" t="s">
        <v>287</v>
      </c>
      <c r="G15" s="4">
        <f>B6*LN(B6/G6)</f>
        <v>7.1180980404146457</v>
      </c>
      <c r="H15" s="6">
        <f>C6*LN(C6/H6)</f>
        <v>-6.0295443412823531</v>
      </c>
      <c r="I15">
        <f>SUM(G15:H15)</f>
        <v>1.0885536991322926</v>
      </c>
    </row>
    <row r="16" spans="1:14" x14ac:dyDescent="0.25">
      <c r="A16" t="s">
        <v>288</v>
      </c>
      <c r="B16" s="10">
        <f>(B7-G7)^2/G7</f>
        <v>2.3300460829493082</v>
      </c>
      <c r="C16" s="12">
        <f>(C7-H7)^2/H7</f>
        <v>0.90612903225806429</v>
      </c>
      <c r="D16">
        <f>SUM(B16:C16)</f>
        <v>3.2361751152073723</v>
      </c>
      <c r="F16" t="s">
        <v>288</v>
      </c>
      <c r="G16" s="10">
        <f>B7*LN(B7/G7)</f>
        <v>-5.0190078007721697</v>
      </c>
      <c r="H16" s="12">
        <f>C7*LN(C7/H7)</f>
        <v>6.7929610472147877</v>
      </c>
      <c r="I16">
        <f>SUM(G16:H16)</f>
        <v>1.773953246442618</v>
      </c>
    </row>
    <row r="17" spans="1:9" x14ac:dyDescent="0.25">
      <c r="C17" s="19" t="s">
        <v>292</v>
      </c>
      <c r="D17">
        <f>SUM(D15:D16)</f>
        <v>5.5162075827398391</v>
      </c>
      <c r="H17" s="19" t="s">
        <v>292</v>
      </c>
      <c r="I17">
        <f>2*SUM(I15:I16)</f>
        <v>5.7250138911498212</v>
      </c>
    </row>
    <row r="19" spans="1:9" x14ac:dyDescent="0.25">
      <c r="A19" t="s">
        <v>140</v>
      </c>
      <c r="B19" s="144">
        <v>0.05</v>
      </c>
      <c r="F19" t="s">
        <v>140</v>
      </c>
      <c r="G19" s="144">
        <f>B19</f>
        <v>0.05</v>
      </c>
    </row>
    <row r="20" spans="1:9" x14ac:dyDescent="0.25">
      <c r="A20" t="s">
        <v>168</v>
      </c>
      <c r="B20" s="128">
        <f>(COUNT(B6:C6)-1)*(COUNT(B6:B7)-1)</f>
        <v>1</v>
      </c>
      <c r="F20" t="s">
        <v>168</v>
      </c>
      <c r="G20" s="128">
        <f>B20</f>
        <v>1</v>
      </c>
    </row>
    <row r="21" spans="1:9" x14ac:dyDescent="0.25">
      <c r="A21" s="54" t="s">
        <v>271</v>
      </c>
      <c r="B21" s="128">
        <f>D17</f>
        <v>5.5162075827398391</v>
      </c>
      <c r="F21" s="54" t="s">
        <v>271</v>
      </c>
      <c r="G21" s="128">
        <f>I17</f>
        <v>5.7250138911498212</v>
      </c>
    </row>
    <row r="22" spans="1:9" x14ac:dyDescent="0.25">
      <c r="A22" s="54" t="s">
        <v>182</v>
      </c>
      <c r="B22" s="128">
        <f>CHIDIST(B21,B20)</f>
        <v>1.8841061611125618E-2</v>
      </c>
      <c r="F22" s="54" t="s">
        <v>182</v>
      </c>
      <c r="G22" s="128">
        <f>CHIDIST(G21,G20)</f>
        <v>1.6724904294501547E-2</v>
      </c>
    </row>
    <row r="23" spans="1:9" x14ac:dyDescent="0.25">
      <c r="A23" s="54" t="s">
        <v>272</v>
      </c>
      <c r="B23" s="128">
        <f>CHIINV(B19,B20)</f>
        <v>3.8414588206941236</v>
      </c>
      <c r="F23" s="54" t="s">
        <v>272</v>
      </c>
      <c r="G23" s="128">
        <f>CHIINV(G19,G20)</f>
        <v>3.8414588206941236</v>
      </c>
    </row>
    <row r="24" spans="1:9" x14ac:dyDescent="0.25">
      <c r="A24" s="54" t="s">
        <v>381</v>
      </c>
      <c r="B24" s="116" t="str">
        <f>IF(B22&lt;B19,"yes","no")</f>
        <v>yes</v>
      </c>
      <c r="F24" s="54" t="s">
        <v>381</v>
      </c>
      <c r="G24" s="116" t="str">
        <f>IF(G22&lt;G19,"yes","no")</f>
        <v>yes</v>
      </c>
    </row>
  </sheetData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H7"/>
  <sheetViews>
    <sheetView workbookViewId="0"/>
  </sheetViews>
  <sheetFormatPr defaultRowHeight="15" x14ac:dyDescent="0.25"/>
  <cols>
    <col min="1" max="1" width="9.85546875" customWidth="1"/>
    <col min="4" max="4" width="9.140625" customWidth="1"/>
    <col min="6" max="6" width="10" customWidth="1"/>
    <col min="7" max="7" width="9.5703125" customWidth="1"/>
    <col min="12" max="12" width="10.140625" customWidth="1"/>
  </cols>
  <sheetData>
    <row r="1" spans="1:8" x14ac:dyDescent="0.25">
      <c r="A1" s="1" t="s">
        <v>311</v>
      </c>
    </row>
    <row r="2" spans="1:8" x14ac:dyDescent="0.25">
      <c r="A2" s="1"/>
    </row>
    <row r="3" spans="1:8" x14ac:dyDescent="0.25">
      <c r="A3" s="1" t="s">
        <v>301</v>
      </c>
      <c r="F3" s="1" t="s">
        <v>302</v>
      </c>
    </row>
    <row r="4" spans="1:8" x14ac:dyDescent="0.25">
      <c r="B4" s="19" t="s">
        <v>285</v>
      </c>
      <c r="C4" s="19" t="s">
        <v>286</v>
      </c>
      <c r="G4" s="19" t="s">
        <v>303</v>
      </c>
      <c r="H4" s="19" t="s">
        <v>304</v>
      </c>
    </row>
    <row r="5" spans="1:8" x14ac:dyDescent="0.25">
      <c r="A5" t="s">
        <v>287</v>
      </c>
      <c r="B5" s="4">
        <v>31</v>
      </c>
      <c r="C5" s="6">
        <v>57</v>
      </c>
      <c r="D5">
        <f>SUM(B5:C5)</f>
        <v>88</v>
      </c>
      <c r="F5" t="s">
        <v>285</v>
      </c>
      <c r="G5" s="95">
        <f>B6/B7</f>
        <v>0.26190476190476192</v>
      </c>
      <c r="H5" s="50">
        <f>B6/B5</f>
        <v>0.35483870967741937</v>
      </c>
    </row>
    <row r="6" spans="1:8" x14ac:dyDescent="0.25">
      <c r="A6" t="s">
        <v>288</v>
      </c>
      <c r="B6" s="10">
        <v>11</v>
      </c>
      <c r="C6" s="12">
        <v>51</v>
      </c>
      <c r="D6">
        <f>SUM(B6:C6)</f>
        <v>62</v>
      </c>
      <c r="F6" t="s">
        <v>286</v>
      </c>
      <c r="G6" s="96">
        <f>C6/C7</f>
        <v>0.47222222222222221</v>
      </c>
      <c r="H6" s="51">
        <f>C6/C5</f>
        <v>0.89473684210526316</v>
      </c>
    </row>
    <row r="7" spans="1:8" x14ac:dyDescent="0.25">
      <c r="B7">
        <f>SUM(B5:B6)</f>
        <v>42</v>
      </c>
      <c r="C7">
        <f>SUM(C5:C6)</f>
        <v>108</v>
      </c>
      <c r="D7">
        <f>SUM(D5:D6)</f>
        <v>150</v>
      </c>
      <c r="F7" t="s">
        <v>305</v>
      </c>
      <c r="G7" s="21">
        <f>G6/G5</f>
        <v>1.803030303030303</v>
      </c>
      <c r="H7" s="21">
        <f>H6/H5</f>
        <v>2.5215311004784686</v>
      </c>
    </row>
  </sheetData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8"/>
  <dimension ref="A1:S41"/>
  <sheetViews>
    <sheetView zoomScaleNormal="100" workbookViewId="0"/>
  </sheetViews>
  <sheetFormatPr defaultRowHeight="15" x14ac:dyDescent="0.25"/>
  <cols>
    <col min="3" max="3" width="3.85546875" customWidth="1"/>
    <col min="5" max="7" width="7.140625" customWidth="1"/>
    <col min="8" max="8" width="4.28515625" customWidth="1"/>
    <col min="12" max="12" width="6.42578125" customWidth="1"/>
    <col min="13" max="13" width="4.42578125" customWidth="1"/>
    <col min="18" max="18" width="6.42578125" customWidth="1"/>
  </cols>
  <sheetData>
    <row r="1" spans="1:19" x14ac:dyDescent="0.25">
      <c r="A1" s="1" t="s">
        <v>815</v>
      </c>
    </row>
    <row r="2" spans="1:19" x14ac:dyDescent="0.25">
      <c r="A2" s="1"/>
    </row>
    <row r="3" spans="1:19" x14ac:dyDescent="0.25">
      <c r="A3" s="310" t="s">
        <v>1651</v>
      </c>
      <c r="B3" s="310" t="s">
        <v>1652</v>
      </c>
      <c r="D3" t="s">
        <v>816</v>
      </c>
      <c r="I3" t="s">
        <v>283</v>
      </c>
      <c r="N3" t="s">
        <v>256</v>
      </c>
    </row>
    <row r="4" spans="1:19" x14ac:dyDescent="0.25">
      <c r="A4" s="311" t="s">
        <v>294</v>
      </c>
      <c r="B4" s="311" t="s">
        <v>1653</v>
      </c>
    </row>
    <row r="5" spans="1:19" ht="15.75" thickBot="1" x14ac:dyDescent="0.3">
      <c r="A5" s="311" t="s">
        <v>294</v>
      </c>
      <c r="B5" s="311" t="s">
        <v>1653</v>
      </c>
      <c r="E5" t="e">
        <f t="array" aca="1" ref="E5:F5" ca="1">TRANSPOSE(SortUnique(B4:B41))</f>
        <v>#NAME?</v>
      </c>
      <c r="F5" t="e">
        <f ca="1"/>
        <v>#NAME?</v>
      </c>
      <c r="G5" s="19" t="s">
        <v>12</v>
      </c>
      <c r="I5" t="str">
        <f>IF(D5="","",D5)</f>
        <v/>
      </c>
      <c r="J5" t="e">
        <f ca="1">IF(E5="","",E5)</f>
        <v>#NAME?</v>
      </c>
      <c r="K5" t="e">
        <f ca="1">IF(F5="","",F5)</f>
        <v>#NAME?</v>
      </c>
      <c r="L5" s="19" t="s">
        <v>12</v>
      </c>
      <c r="N5" t="s">
        <v>176</v>
      </c>
      <c r="P5" t="s">
        <v>114</v>
      </c>
      <c r="Q5">
        <v>0.05</v>
      </c>
    </row>
    <row r="6" spans="1:19" ht="15.75" thickTop="1" x14ac:dyDescent="0.25">
      <c r="A6" s="311" t="s">
        <v>294</v>
      </c>
      <c r="B6" s="311" t="s">
        <v>1653</v>
      </c>
      <c r="D6" t="e">
        <f t="array" aca="1" ref="D6:D8" ca="1">SortUnique(A4:A41)</f>
        <v>#NAME?</v>
      </c>
      <c r="E6" s="312">
        <f t="array" ref="E6" ca="1">COUNTIFS($A$4:$A$41,$D6,$B$4:$B$41,E$5)</f>
        <v>0</v>
      </c>
      <c r="F6" s="313">
        <f t="array" ref="F6" ca="1">COUNTIFS($A$4:$A$41,$D6,$B$4:$B$41,F$5)</f>
        <v>0</v>
      </c>
      <c r="G6">
        <f t="array" ref="G6" ca="1">SUM(E6:F6)</f>
        <v>0</v>
      </c>
      <c r="I6" t="e">
        <f ca="1">IF(D6="","",D6)</f>
        <v>#NAME?</v>
      </c>
      <c r="J6" s="312" t="e">
        <f t="array" aca="1" ref="J6:K8" ca="1">MMULT(L6:L8,J9:K9)/L9</f>
        <v>#DIV/0!</v>
      </c>
      <c r="K6" s="313" t="e">
        <f ca="1"/>
        <v>#DIV/0!</v>
      </c>
      <c r="L6">
        <f ca="1">SUM(E6:F6)</f>
        <v>0</v>
      </c>
      <c r="N6" s="291" t="s">
        <v>87</v>
      </c>
      <c r="O6" s="291" t="s">
        <v>312</v>
      </c>
      <c r="P6" s="291" t="s">
        <v>313</v>
      </c>
      <c r="Q6" s="291" t="s">
        <v>168</v>
      </c>
    </row>
    <row r="7" spans="1:19" x14ac:dyDescent="0.25">
      <c r="A7" s="311" t="s">
        <v>294</v>
      </c>
      <c r="B7" s="311" t="s">
        <v>1653</v>
      </c>
      <c r="D7" t="e">
        <f ca="1"/>
        <v>#NAME?</v>
      </c>
      <c r="E7" s="162">
        <f t="array" ref="E7" ca="1">COUNTIFS($A$4:$A$41,$D7,$B$4:$B$41,E$5)</f>
        <v>0</v>
      </c>
      <c r="F7" s="102">
        <f t="array" ref="F7" ca="1">COUNTIFS($A$4:$A$41,$D7,$B$4:$B$41,F$5)</f>
        <v>0</v>
      </c>
      <c r="G7">
        <f t="array" ref="G7" ca="1">SUM(E7:F7)</f>
        <v>0</v>
      </c>
      <c r="I7" t="e">
        <f ca="1">IF(D7="","",D7)</f>
        <v>#NAME?</v>
      </c>
      <c r="J7" s="162" t="e">
        <f ca="1"/>
        <v>#DIV/0!</v>
      </c>
      <c r="K7" s="102" t="e">
        <f ca="1"/>
        <v>#DIV/0!</v>
      </c>
      <c r="L7">
        <f ca="1">SUM(E7:F7)</f>
        <v>0</v>
      </c>
      <c r="N7">
        <f ca="1">L9</f>
        <v>0</v>
      </c>
      <c r="O7">
        <f ca="1">COUNT(E6:E8)</f>
        <v>3</v>
      </c>
      <c r="P7">
        <f ca="1">COUNT(E6:F6)</f>
        <v>2</v>
      </c>
      <c r="Q7">
        <f ca="1">(O7-1)*(P7-1)</f>
        <v>2</v>
      </c>
    </row>
    <row r="8" spans="1:19" x14ac:dyDescent="0.25">
      <c r="A8" s="311" t="s">
        <v>294</v>
      </c>
      <c r="B8" s="311" t="s">
        <v>1653</v>
      </c>
      <c r="D8" t="e">
        <f ca="1"/>
        <v>#NAME?</v>
      </c>
      <c r="E8" s="273">
        <f t="array" ref="E8" ca="1">COUNTIFS($A$4:$A$41,$D8,$B$4:$B$41,E$5)</f>
        <v>0</v>
      </c>
      <c r="F8" s="275">
        <f t="array" ref="F8" ca="1">COUNTIFS($A$4:$A$41,$D8,$B$4:$B$41,F$5)</f>
        <v>0</v>
      </c>
      <c r="G8">
        <f t="array" ref="G8" ca="1">SUM(E8:F8)</f>
        <v>0</v>
      </c>
      <c r="I8" t="e">
        <f ca="1">IF(D8="","",D8)</f>
        <v>#NAME?</v>
      </c>
      <c r="J8" s="273" t="e">
        <f ca="1"/>
        <v>#DIV/0!</v>
      </c>
      <c r="K8" s="275" t="e">
        <f ca="1"/>
        <v>#DIV/0!</v>
      </c>
      <c r="L8">
        <f ca="1">SUM(E8:F8)</f>
        <v>0</v>
      </c>
    </row>
    <row r="9" spans="1:19" ht="15.75" thickBot="1" x14ac:dyDescent="0.3">
      <c r="A9" s="311" t="s">
        <v>294</v>
      </c>
      <c r="B9" s="311" t="s">
        <v>1653</v>
      </c>
      <c r="E9">
        <f t="array" ref="E9" ca="1">SUM(E6:E8)</f>
        <v>0</v>
      </c>
      <c r="F9">
        <f t="array" ref="F9" ca="1">SUM(F6:F8)</f>
        <v>0</v>
      </c>
      <c r="G9">
        <f t="array" ref="G9" ca="1">SUM(G6:G8)</f>
        <v>0</v>
      </c>
      <c r="I9" t="s">
        <v>12</v>
      </c>
      <c r="J9">
        <f ca="1">SUM(E6:E8)</f>
        <v>0</v>
      </c>
      <c r="K9">
        <f ca="1">SUM(F6:F8)</f>
        <v>0</v>
      </c>
      <c r="L9">
        <f ca="1">SUM(L6:L8)</f>
        <v>0</v>
      </c>
      <c r="N9" t="s">
        <v>314</v>
      </c>
    </row>
    <row r="10" spans="1:19" ht="15.75" thickTop="1" x14ac:dyDescent="0.25">
      <c r="A10" s="311" t="s">
        <v>294</v>
      </c>
      <c r="B10" s="311" t="s">
        <v>1654</v>
      </c>
      <c r="N10" s="291" t="s">
        <v>181</v>
      </c>
      <c r="O10" s="291" t="s">
        <v>264</v>
      </c>
      <c r="P10" s="291" t="s">
        <v>182</v>
      </c>
      <c r="Q10" s="291" t="s">
        <v>276</v>
      </c>
      <c r="R10" s="291" t="s">
        <v>381</v>
      </c>
      <c r="S10" s="291" t="s">
        <v>316</v>
      </c>
    </row>
    <row r="11" spans="1:19" x14ac:dyDescent="0.25">
      <c r="A11" s="311" t="s">
        <v>294</v>
      </c>
      <c r="B11" s="311" t="s">
        <v>1654</v>
      </c>
      <c r="N11" t="s">
        <v>315</v>
      </c>
      <c r="O11" t="e">
        <f ca="1">CHI_STAT2(E6:F8,J6:K8)</f>
        <v>#NAME?</v>
      </c>
      <c r="P11" t="e">
        <f ca="1">CHIDIST(O11,Q7)</f>
        <v>#NAME?</v>
      </c>
      <c r="Q11">
        <f ca="1">CHIINV(Q5,Q7)</f>
        <v>5.9914645471079817</v>
      </c>
      <c r="R11" s="311" t="e">
        <f ca="1">IF(Q11&lt;O11,"yes","no")</f>
        <v>#NAME?</v>
      </c>
      <c r="S11" t="e">
        <f ca="1">SQRT(O11/(N7*(MIN(O7,P7)-1)))</f>
        <v>#NAME?</v>
      </c>
    </row>
    <row r="12" spans="1:19" x14ac:dyDescent="0.25">
      <c r="A12" s="311" t="s">
        <v>294</v>
      </c>
      <c r="B12" s="311" t="s">
        <v>1654</v>
      </c>
      <c r="N12" t="s">
        <v>317</v>
      </c>
      <c r="O12" t="e">
        <f ca="1">CHI_MAX2(E6:F8,J6:K8)</f>
        <v>#NAME?</v>
      </c>
      <c r="P12" t="e">
        <f ca="1">CHIDIST(O12,Q7)</f>
        <v>#NAME?</v>
      </c>
      <c r="Q12">
        <f ca="1">CHIINV(Q5,Q7)</f>
        <v>5.9914645471079817</v>
      </c>
      <c r="R12" s="311" t="e">
        <f ca="1">IF(Q12&lt;O12,"yes","no")</f>
        <v>#NAME?</v>
      </c>
      <c r="S12" t="e">
        <f ca="1">SQRT(O12/(N7*(MIN(O7,P7)-1)))</f>
        <v>#NAME?</v>
      </c>
    </row>
    <row r="13" spans="1:19" x14ac:dyDescent="0.25">
      <c r="A13" s="311" t="s">
        <v>294</v>
      </c>
      <c r="B13" s="311" t="s">
        <v>1654</v>
      </c>
      <c r="N13" s="314"/>
      <c r="O13" s="314"/>
      <c r="P13" s="314"/>
      <c r="Q13" s="314"/>
      <c r="R13" s="314"/>
      <c r="S13" s="314"/>
    </row>
    <row r="14" spans="1:19" x14ac:dyDescent="0.25">
      <c r="A14" s="311" t="s">
        <v>294</v>
      </c>
      <c r="B14" s="311" t="s">
        <v>1654</v>
      </c>
    </row>
    <row r="15" spans="1:19" x14ac:dyDescent="0.25">
      <c r="A15" s="311" t="s">
        <v>428</v>
      </c>
      <c r="B15" s="311" t="s">
        <v>1653</v>
      </c>
    </row>
    <row r="16" spans="1:19" x14ac:dyDescent="0.25">
      <c r="A16" s="311" t="s">
        <v>428</v>
      </c>
      <c r="B16" s="311" t="s">
        <v>1653</v>
      </c>
    </row>
    <row r="17" spans="1:2" x14ac:dyDescent="0.25">
      <c r="A17" s="311" t="s">
        <v>428</v>
      </c>
      <c r="B17" s="311" t="s">
        <v>1653</v>
      </c>
    </row>
    <row r="18" spans="1:2" x14ac:dyDescent="0.25">
      <c r="A18" s="311" t="s">
        <v>428</v>
      </c>
      <c r="B18" s="311" t="s">
        <v>1653</v>
      </c>
    </row>
    <row r="19" spans="1:2" x14ac:dyDescent="0.25">
      <c r="A19" s="311" t="s">
        <v>428</v>
      </c>
      <c r="B19" s="311" t="s">
        <v>1653</v>
      </c>
    </row>
    <row r="20" spans="1:2" x14ac:dyDescent="0.25">
      <c r="A20" s="311" t="s">
        <v>428</v>
      </c>
      <c r="B20" s="311" t="s">
        <v>1653</v>
      </c>
    </row>
    <row r="21" spans="1:2" x14ac:dyDescent="0.25">
      <c r="A21" s="311" t="s">
        <v>428</v>
      </c>
      <c r="B21" s="311" t="s">
        <v>1653</v>
      </c>
    </row>
    <row r="22" spans="1:2" x14ac:dyDescent="0.25">
      <c r="A22" s="311" t="s">
        <v>428</v>
      </c>
      <c r="B22" s="311" t="s">
        <v>1653</v>
      </c>
    </row>
    <row r="23" spans="1:2" x14ac:dyDescent="0.25">
      <c r="A23" s="311" t="s">
        <v>428</v>
      </c>
      <c r="B23" s="311" t="s">
        <v>1653</v>
      </c>
    </row>
    <row r="24" spans="1:2" x14ac:dyDescent="0.25">
      <c r="A24" s="311" t="s">
        <v>428</v>
      </c>
      <c r="B24" s="311" t="s">
        <v>1654</v>
      </c>
    </row>
    <row r="25" spans="1:2" x14ac:dyDescent="0.25">
      <c r="A25" s="311" t="s">
        <v>428</v>
      </c>
      <c r="B25" s="311" t="s">
        <v>1654</v>
      </c>
    </row>
    <row r="26" spans="1:2" x14ac:dyDescent="0.25">
      <c r="A26" s="311" t="s">
        <v>428</v>
      </c>
      <c r="B26" s="311" t="s">
        <v>1654</v>
      </c>
    </row>
    <row r="27" spans="1:2" x14ac:dyDescent="0.25">
      <c r="A27" s="311" t="s">
        <v>428</v>
      </c>
      <c r="B27" s="311" t="s">
        <v>1654</v>
      </c>
    </row>
    <row r="28" spans="1:2" x14ac:dyDescent="0.25">
      <c r="A28" s="311" t="s">
        <v>428</v>
      </c>
      <c r="B28" s="311" t="s">
        <v>1654</v>
      </c>
    </row>
    <row r="29" spans="1:2" x14ac:dyDescent="0.25">
      <c r="A29" s="311" t="s">
        <v>428</v>
      </c>
      <c r="B29" s="311" t="s">
        <v>1654</v>
      </c>
    </row>
    <row r="30" spans="1:2" x14ac:dyDescent="0.25">
      <c r="A30" s="311" t="s">
        <v>428</v>
      </c>
      <c r="B30" s="311" t="s">
        <v>1654</v>
      </c>
    </row>
    <row r="31" spans="1:2" x14ac:dyDescent="0.25">
      <c r="A31" s="311" t="s">
        <v>296</v>
      </c>
      <c r="B31" s="311" t="s">
        <v>1653</v>
      </c>
    </row>
    <row r="32" spans="1:2" x14ac:dyDescent="0.25">
      <c r="A32" s="311" t="s">
        <v>296</v>
      </c>
      <c r="B32" s="311" t="s">
        <v>1653</v>
      </c>
    </row>
    <row r="33" spans="1:2" x14ac:dyDescent="0.25">
      <c r="A33" s="311" t="s">
        <v>296</v>
      </c>
      <c r="B33" s="311" t="s">
        <v>1653</v>
      </c>
    </row>
    <row r="34" spans="1:2" x14ac:dyDescent="0.25">
      <c r="A34" s="311" t="s">
        <v>296</v>
      </c>
      <c r="B34" s="311" t="s">
        <v>1653</v>
      </c>
    </row>
    <row r="35" spans="1:2" x14ac:dyDescent="0.25">
      <c r="A35" s="311" t="s">
        <v>296</v>
      </c>
      <c r="B35" s="311" t="s">
        <v>1653</v>
      </c>
    </row>
    <row r="36" spans="1:2" x14ac:dyDescent="0.25">
      <c r="A36" s="311" t="s">
        <v>296</v>
      </c>
      <c r="B36" s="311" t="s">
        <v>1654</v>
      </c>
    </row>
    <row r="37" spans="1:2" x14ac:dyDescent="0.25">
      <c r="A37" s="311" t="s">
        <v>296</v>
      </c>
      <c r="B37" s="311" t="s">
        <v>1654</v>
      </c>
    </row>
    <row r="38" spans="1:2" x14ac:dyDescent="0.25">
      <c r="A38" s="311" t="s">
        <v>296</v>
      </c>
      <c r="B38" s="311" t="s">
        <v>1654</v>
      </c>
    </row>
    <row r="39" spans="1:2" x14ac:dyDescent="0.25">
      <c r="A39" s="311" t="s">
        <v>296</v>
      </c>
      <c r="B39" s="311" t="s">
        <v>1654</v>
      </c>
    </row>
    <row r="40" spans="1:2" x14ac:dyDescent="0.25">
      <c r="A40" s="311" t="s">
        <v>296</v>
      </c>
      <c r="B40" s="311" t="s">
        <v>1654</v>
      </c>
    </row>
    <row r="41" spans="1:2" x14ac:dyDescent="0.25">
      <c r="A41" s="306" t="s">
        <v>296</v>
      </c>
      <c r="B41" s="306" t="s">
        <v>1654</v>
      </c>
    </row>
  </sheetData>
  <pageMargins left="0.7" right="0.7" top="0.75" bottom="0.75" header="0.3" footer="0.3"/>
  <pageSetup paperSize="9" orientation="portrait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T13"/>
  <sheetViews>
    <sheetView workbookViewId="0"/>
  </sheetViews>
  <sheetFormatPr defaultRowHeight="15" x14ac:dyDescent="0.25"/>
  <cols>
    <col min="3" max="4" width="6.28515625" customWidth="1"/>
  </cols>
  <sheetData>
    <row r="1" spans="1:20" x14ac:dyDescent="0.25">
      <c r="A1" s="1" t="s">
        <v>815</v>
      </c>
    </row>
    <row r="2" spans="1:20" x14ac:dyDescent="0.25">
      <c r="A2" s="1"/>
    </row>
    <row r="3" spans="1:20" x14ac:dyDescent="0.25">
      <c r="A3" s="564" t="s">
        <v>1651</v>
      </c>
      <c r="B3" s="564" t="s">
        <v>1652</v>
      </c>
      <c r="C3" s="491" t="s">
        <v>87</v>
      </c>
      <c r="E3" t="s">
        <v>816</v>
      </c>
      <c r="J3" t="s">
        <v>283</v>
      </c>
      <c r="O3" t="s">
        <v>256</v>
      </c>
    </row>
    <row r="4" spans="1:20" x14ac:dyDescent="0.25">
      <c r="A4" s="563" t="s">
        <v>294</v>
      </c>
      <c r="B4" s="563" t="s">
        <v>1654</v>
      </c>
      <c r="C4" s="563">
        <v>5</v>
      </c>
    </row>
    <row r="5" spans="1:20" ht="15.75" thickBot="1" x14ac:dyDescent="0.3">
      <c r="A5" s="563" t="s">
        <v>296</v>
      </c>
      <c r="B5" s="563" t="s">
        <v>1653</v>
      </c>
      <c r="C5" s="563">
        <v>5</v>
      </c>
      <c r="F5" t="e">
        <f t="array" aca="1" ref="F5:G5" ca="1">TRANSPOSE(SortUnique(B4:B9))</f>
        <v>#NAME?</v>
      </c>
      <c r="G5" t="e">
        <f ca="1"/>
        <v>#NAME?</v>
      </c>
      <c r="J5" t="str">
        <f>IF(E5="","",E5)</f>
        <v/>
      </c>
      <c r="K5" t="e">
        <f ca="1">IF(F5="","",F5)</f>
        <v>#NAME?</v>
      </c>
      <c r="L5" t="e">
        <f ca="1">IF(G5="","",G5)</f>
        <v>#NAME?</v>
      </c>
      <c r="M5" t="s">
        <v>12</v>
      </c>
      <c r="O5" t="s">
        <v>176</v>
      </c>
      <c r="Q5" t="s">
        <v>114</v>
      </c>
      <c r="R5">
        <v>0.05</v>
      </c>
    </row>
    <row r="6" spans="1:20" ht="15.75" thickTop="1" x14ac:dyDescent="0.25">
      <c r="A6" s="563" t="s">
        <v>294</v>
      </c>
      <c r="B6" s="563" t="s">
        <v>1653</v>
      </c>
      <c r="C6" s="563">
        <v>6</v>
      </c>
      <c r="E6" t="e">
        <f t="array" aca="1" ref="E6:E8" ca="1">SortUnique(A4:A9)</f>
        <v>#NAME?</v>
      </c>
      <c r="F6" s="529">
        <f t="array" ref="F6" ca="1">SUMIFS($C$4:$C$9,$A$4:$A$9,$E6,$B$4:$B$9,F$5)</f>
        <v>0</v>
      </c>
      <c r="G6" s="531">
        <f t="array" ref="G6" ca="1">SUMIFS($C$4:$C$9,$A$4:$A$9,$E6,$B$4:$B$9,G$5)</f>
        <v>0</v>
      </c>
      <c r="H6">
        <f t="array" ref="H6" ca="1">SUM(F6:G6)</f>
        <v>0</v>
      </c>
      <c r="J6" t="e">
        <f ca="1">IF(E6="","",E6)</f>
        <v>#NAME?</v>
      </c>
      <c r="K6" s="529" t="e">
        <f t="array" aca="1" ref="K6:L8" ca="1">MMULT(M6:M8,K9:L9)/M9</f>
        <v>#DIV/0!</v>
      </c>
      <c r="L6" s="531" t="e">
        <f ca="1"/>
        <v>#DIV/0!</v>
      </c>
      <c r="M6">
        <f ca="1">SUM(F6:G6)</f>
        <v>0</v>
      </c>
      <c r="O6" s="291" t="s">
        <v>87</v>
      </c>
      <c r="P6" s="291" t="s">
        <v>312</v>
      </c>
      <c r="Q6" s="291" t="s">
        <v>313</v>
      </c>
      <c r="R6" s="291" t="s">
        <v>168</v>
      </c>
    </row>
    <row r="7" spans="1:20" x14ac:dyDescent="0.25">
      <c r="A7" s="563" t="s">
        <v>296</v>
      </c>
      <c r="B7" s="563" t="s">
        <v>1654</v>
      </c>
      <c r="C7" s="563">
        <v>6</v>
      </c>
      <c r="E7" t="e">
        <f ca="1"/>
        <v>#NAME?</v>
      </c>
      <c r="F7" s="162">
        <f t="array" ref="F7" ca="1">SUMIFS($C$4:$C$9,$A$4:$A$9,$E7,$B$4:$B$9,F$5)</f>
        <v>0</v>
      </c>
      <c r="G7" s="102">
        <f t="array" ref="G7" ca="1">SUMIFS($C$4:$C$9,$A$4:$A$9,$E7,$B$4:$B$9,G$5)</f>
        <v>0</v>
      </c>
      <c r="H7">
        <f t="array" ref="H7" ca="1">SUM(F7:G7)</f>
        <v>0</v>
      </c>
      <c r="J7" t="e">
        <f ca="1">IF(E7="","",E7)</f>
        <v>#NAME?</v>
      </c>
      <c r="K7" s="162" t="e">
        <f ca="1"/>
        <v>#DIV/0!</v>
      </c>
      <c r="L7" s="102" t="e">
        <f ca="1"/>
        <v>#DIV/0!</v>
      </c>
      <c r="M7">
        <f ca="1">SUM(F7:G7)</f>
        <v>0</v>
      </c>
      <c r="O7">
        <f ca="1">M9</f>
        <v>0</v>
      </c>
      <c r="P7">
        <f ca="1">COUNT(F6:F8)</f>
        <v>3</v>
      </c>
      <c r="Q7">
        <f ca="1">COUNT(F6:G6)</f>
        <v>2</v>
      </c>
      <c r="R7">
        <f ca="1">(P7-1)*(Q7-1)</f>
        <v>2</v>
      </c>
    </row>
    <row r="8" spans="1:20" x14ac:dyDescent="0.25">
      <c r="A8" s="563" t="s">
        <v>428</v>
      </c>
      <c r="B8" s="563" t="s">
        <v>1654</v>
      </c>
      <c r="C8" s="563">
        <v>7</v>
      </c>
      <c r="E8" t="e">
        <f ca="1"/>
        <v>#NAME?</v>
      </c>
      <c r="F8" s="273">
        <f t="array" ref="F8" ca="1">SUMIFS($C$4:$C$9,$A$4:$A$9,$E8,$B$4:$B$9,F$5)</f>
        <v>0</v>
      </c>
      <c r="G8" s="275">
        <f t="array" ref="G8" ca="1">SUMIFS($C$4:$C$9,$A$4:$A$9,$E8,$B$4:$B$9,G$5)</f>
        <v>0</v>
      </c>
      <c r="H8">
        <f t="array" ref="H8" ca="1">SUM(F8:G8)</f>
        <v>0</v>
      </c>
      <c r="J8" t="e">
        <f ca="1">IF(E8="","",E8)</f>
        <v>#NAME?</v>
      </c>
      <c r="K8" s="273" t="e">
        <f ca="1"/>
        <v>#DIV/0!</v>
      </c>
      <c r="L8" s="275" t="e">
        <f ca="1"/>
        <v>#DIV/0!</v>
      </c>
      <c r="M8">
        <f ca="1">SUM(F8:G8)</f>
        <v>0</v>
      </c>
    </row>
    <row r="9" spans="1:20" ht="15.75" thickBot="1" x14ac:dyDescent="0.3">
      <c r="A9" s="527" t="s">
        <v>428</v>
      </c>
      <c r="B9" s="527" t="s">
        <v>1653</v>
      </c>
      <c r="C9" s="527">
        <v>9</v>
      </c>
      <c r="F9">
        <f t="array" ref="F9" ca="1">SUM(F6:F8)</f>
        <v>0</v>
      </c>
      <c r="G9">
        <f t="array" ref="G9" ca="1">SUM(G6:G8)</f>
        <v>0</v>
      </c>
      <c r="H9">
        <f t="array" ref="H9" ca="1">SUM(H6:H8)</f>
        <v>0</v>
      </c>
      <c r="J9" t="s">
        <v>12</v>
      </c>
      <c r="K9">
        <f ca="1">SUM(F6:F8)</f>
        <v>0</v>
      </c>
      <c r="L9">
        <f ca="1">SUM(G6:G8)</f>
        <v>0</v>
      </c>
      <c r="M9">
        <f ca="1">SUM(M6:M8)</f>
        <v>0</v>
      </c>
      <c r="O9" t="s">
        <v>314</v>
      </c>
    </row>
    <row r="10" spans="1:20" ht="15.75" thickTop="1" x14ac:dyDescent="0.25">
      <c r="O10" s="291" t="s">
        <v>181</v>
      </c>
      <c r="P10" s="291" t="s">
        <v>264</v>
      </c>
      <c r="Q10" s="291" t="s">
        <v>182</v>
      </c>
      <c r="R10" s="291" t="s">
        <v>276</v>
      </c>
      <c r="S10" s="291" t="s">
        <v>381</v>
      </c>
      <c r="T10" s="291" t="s">
        <v>316</v>
      </c>
    </row>
    <row r="11" spans="1:20" x14ac:dyDescent="0.25">
      <c r="O11" t="s">
        <v>315</v>
      </c>
      <c r="P11" t="e">
        <f ca="1">CHI_STAT2(F6:G8,K6:L8)</f>
        <v>#NAME?</v>
      </c>
      <c r="Q11" t="e">
        <f ca="1">CHIDIST(P11,R7)</f>
        <v>#NAME?</v>
      </c>
      <c r="R11">
        <f ca="1">CHIINV(R5,R7)</f>
        <v>5.9914645471079817</v>
      </c>
      <c r="S11" s="563" t="e">
        <f ca="1">IF(R11&lt;P11,"yes","no")</f>
        <v>#NAME?</v>
      </c>
      <c r="T11" t="e">
        <f ca="1">SQRT(P11/(O7*(MIN(P7,Q7)-1)))</f>
        <v>#NAME?</v>
      </c>
    </row>
    <row r="12" spans="1:20" x14ac:dyDescent="0.25">
      <c r="O12" t="s">
        <v>317</v>
      </c>
      <c r="P12" t="e">
        <f ca="1">CHI_MAX2(F6:G8,K6:L8)</f>
        <v>#NAME?</v>
      </c>
      <c r="Q12" t="e">
        <f ca="1">CHIDIST(P12,R7)</f>
        <v>#NAME?</v>
      </c>
      <c r="R12">
        <f ca="1">CHIINV(R5,R7)</f>
        <v>5.9914645471079817</v>
      </c>
      <c r="S12" s="563" t="e">
        <f ca="1">IF(R12&lt;P12,"yes","no")</f>
        <v>#NAME?</v>
      </c>
      <c r="T12" t="e">
        <f ca="1">SQRT(P12/(O7*(MIN(P7,Q7)-1)))</f>
        <v>#NAME?</v>
      </c>
    </row>
    <row r="13" spans="1:20" x14ac:dyDescent="0.25">
      <c r="O13" s="314"/>
      <c r="P13" s="314"/>
      <c r="Q13" s="314"/>
      <c r="R13" s="314"/>
      <c r="S13" s="314"/>
      <c r="T13" s="314"/>
    </row>
  </sheetData>
  <sortState ref="A4:C41">
    <sortCondition ref="C4:C41"/>
  </sortState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8"/>
  <dimension ref="A1:Q21"/>
  <sheetViews>
    <sheetView workbookViewId="0"/>
  </sheetViews>
  <sheetFormatPr defaultRowHeight="15" x14ac:dyDescent="0.25"/>
  <cols>
    <col min="1" max="1" width="10.85546875" customWidth="1"/>
    <col min="6" max="6" width="10.28515625" customWidth="1"/>
    <col min="10" max="10" width="9.140625" customWidth="1"/>
    <col min="11" max="11" width="8.140625" customWidth="1"/>
    <col min="12" max="12" width="9.5703125" customWidth="1"/>
    <col min="13" max="13" width="9.7109375" customWidth="1"/>
    <col min="14" max="14" width="5.85546875" customWidth="1"/>
    <col min="15" max="15" width="12" bestFit="1" customWidth="1"/>
    <col min="16" max="16" width="3.42578125" customWidth="1"/>
    <col min="17" max="17" width="20.42578125" customWidth="1"/>
  </cols>
  <sheetData>
    <row r="1" spans="1:15" x14ac:dyDescent="0.25">
      <c r="A1" s="1" t="s">
        <v>508</v>
      </c>
    </row>
    <row r="3" spans="1:15" x14ac:dyDescent="0.25">
      <c r="A3" s="94" t="s">
        <v>282</v>
      </c>
      <c r="F3" s="1" t="s">
        <v>283</v>
      </c>
      <c r="K3" s="1" t="s">
        <v>509</v>
      </c>
    </row>
    <row r="5" spans="1:15" x14ac:dyDescent="0.25">
      <c r="B5" s="19" t="s">
        <v>285</v>
      </c>
      <c r="C5" s="19" t="s">
        <v>286</v>
      </c>
      <c r="D5" s="19" t="s">
        <v>12</v>
      </c>
      <c r="G5" s="19" t="s">
        <v>285</v>
      </c>
      <c r="H5" s="19" t="s">
        <v>286</v>
      </c>
      <c r="I5" s="19" t="s">
        <v>12</v>
      </c>
      <c r="K5" s="407" t="s">
        <v>360</v>
      </c>
      <c r="L5" s="407" t="s">
        <v>443</v>
      </c>
      <c r="M5" s="407" t="s">
        <v>745</v>
      </c>
      <c r="N5" s="41"/>
      <c r="O5" s="407" t="s">
        <v>745</v>
      </c>
    </row>
    <row r="6" spans="1:15" x14ac:dyDescent="0.25">
      <c r="A6" t="s">
        <v>287</v>
      </c>
      <c r="B6" s="4">
        <v>2</v>
      </c>
      <c r="C6" s="6">
        <v>7</v>
      </c>
      <c r="D6">
        <f>SUM(B6:C6)</f>
        <v>9</v>
      </c>
      <c r="F6" t="s">
        <v>287</v>
      </c>
      <c r="G6" s="4">
        <f>I6*G8/I8</f>
        <v>4.7142857142857144</v>
      </c>
      <c r="H6" s="6">
        <f>I6*H8/I8</f>
        <v>4.2857142857142856</v>
      </c>
      <c r="I6">
        <f>D6</f>
        <v>9</v>
      </c>
      <c r="K6" s="404">
        <v>0</v>
      </c>
      <c r="L6">
        <f>HYPGEOMDIST(K6,$B$8,$D$6,$D$8)</f>
        <v>3.4021705848331273E-5</v>
      </c>
      <c r="M6">
        <f>L6</f>
        <v>3.4021705848331273E-5</v>
      </c>
      <c r="O6">
        <f>_xlfn.HYPGEOM.DIST(K6,$B$8,$D$6,$D$8,TRUE)</f>
        <v>3.4021705848331273E-5</v>
      </c>
    </row>
    <row r="7" spans="1:15" x14ac:dyDescent="0.25">
      <c r="A7" t="s">
        <v>288</v>
      </c>
      <c r="B7" s="10">
        <v>9</v>
      </c>
      <c r="C7" s="12">
        <v>3</v>
      </c>
      <c r="D7">
        <f>SUM(B7:C7)</f>
        <v>12</v>
      </c>
      <c r="F7" t="s">
        <v>288</v>
      </c>
      <c r="G7" s="10">
        <f>I7*G8/I8</f>
        <v>6.2857142857142856</v>
      </c>
      <c r="H7" s="12">
        <f>I7*H8/I8</f>
        <v>5.7142857142857144</v>
      </c>
      <c r="I7">
        <f>D7</f>
        <v>12</v>
      </c>
      <c r="K7" s="404">
        <f>K6+1</f>
        <v>1</v>
      </c>
      <c r="L7">
        <f>HYPGEOMDIST(K7,$B$8,$D$6,$D$8)</f>
        <v>1.6840744394923967E-3</v>
      </c>
      <c r="M7">
        <f>L7+M6</f>
        <v>1.7180961453407281E-3</v>
      </c>
      <c r="O7">
        <f t="shared" ref="O7:O15" si="0">_xlfn.HYPGEOM.DIST(K7,$B$8,$D$6,$D$8,TRUE)</f>
        <v>1.7180961453407279E-3</v>
      </c>
    </row>
    <row r="8" spans="1:15" x14ac:dyDescent="0.25">
      <c r="A8" t="s">
        <v>12</v>
      </c>
      <c r="B8">
        <f>SUM(B6:B7)</f>
        <v>11</v>
      </c>
      <c r="C8">
        <f>SUM(C6:C7)</f>
        <v>10</v>
      </c>
      <c r="D8">
        <f>SUM(D6:D7)</f>
        <v>21</v>
      </c>
      <c r="F8" t="s">
        <v>12</v>
      </c>
      <c r="G8">
        <f>B8</f>
        <v>11</v>
      </c>
      <c r="H8">
        <f>C8</f>
        <v>10</v>
      </c>
      <c r="I8">
        <f>D8</f>
        <v>21</v>
      </c>
      <c r="K8" s="404">
        <f t="shared" ref="K8:K14" si="1">K7+1</f>
        <v>2</v>
      </c>
      <c r="L8">
        <f t="shared" ref="L8:L15" si="2">HYPGEOMDIST(K8,$B$8,$D$6,$D$8)</f>
        <v>2.2454325859898601E-2</v>
      </c>
      <c r="M8">
        <f t="shared" ref="M8:M15" si="3">L8+M7</f>
        <v>2.4172422005239329E-2</v>
      </c>
      <c r="O8">
        <f t="shared" si="0"/>
        <v>2.4172422005239325E-2</v>
      </c>
    </row>
    <row r="9" spans="1:15" x14ac:dyDescent="0.25">
      <c r="K9" s="404">
        <f t="shared" si="1"/>
        <v>3</v>
      </c>
      <c r="L9">
        <f t="shared" si="2"/>
        <v>0.11788521076446791</v>
      </c>
      <c r="M9">
        <f t="shared" si="3"/>
        <v>0.14205763276970723</v>
      </c>
      <c r="O9">
        <f t="shared" si="0"/>
        <v>0.14205763276970729</v>
      </c>
    </row>
    <row r="10" spans="1:15" x14ac:dyDescent="0.25">
      <c r="A10" s="1" t="s">
        <v>281</v>
      </c>
      <c r="K10" s="404">
        <f t="shared" si="1"/>
        <v>4</v>
      </c>
      <c r="L10">
        <f t="shared" si="2"/>
        <v>0.28292450583472312</v>
      </c>
      <c r="M10">
        <f t="shared" si="3"/>
        <v>0.42498213860443035</v>
      </c>
      <c r="O10">
        <f t="shared" si="0"/>
        <v>0.42498213860443051</v>
      </c>
    </row>
    <row r="11" spans="1:15" x14ac:dyDescent="0.25">
      <c r="K11" s="404">
        <f t="shared" si="1"/>
        <v>5</v>
      </c>
      <c r="L11">
        <f>HYPGEOMDIST(K11,$B$8,$D$6,$D$8)</f>
        <v>0.33007859014050955</v>
      </c>
      <c r="M11">
        <f t="shared" si="3"/>
        <v>0.7550607287449399</v>
      </c>
      <c r="O11">
        <f t="shared" si="0"/>
        <v>0.75506072874493957</v>
      </c>
    </row>
    <row r="12" spans="1:15" x14ac:dyDescent="0.25">
      <c r="B12" s="19" t="s">
        <v>285</v>
      </c>
      <c r="C12" s="19" t="s">
        <v>286</v>
      </c>
      <c r="D12" s="19" t="s">
        <v>12</v>
      </c>
      <c r="F12" t="s">
        <v>140</v>
      </c>
      <c r="G12" s="144">
        <v>0.05</v>
      </c>
      <c r="K12" s="404">
        <f t="shared" si="1"/>
        <v>6</v>
      </c>
      <c r="L12">
        <f t="shared" si="2"/>
        <v>0.18861633722314811</v>
      </c>
      <c r="M12">
        <f t="shared" si="3"/>
        <v>0.94367706596808798</v>
      </c>
      <c r="O12">
        <f t="shared" si="0"/>
        <v>0.94367706596808765</v>
      </c>
    </row>
    <row r="13" spans="1:15" x14ac:dyDescent="0.25">
      <c r="A13" t="s">
        <v>287</v>
      </c>
      <c r="B13" s="4">
        <f>(B6-G6)^2/G6</f>
        <v>1.5627705627705628</v>
      </c>
      <c r="C13" s="6">
        <f>(C6-H6)^2/H6</f>
        <v>1.7190476190476194</v>
      </c>
      <c r="D13">
        <f>SUM(B13:C13)</f>
        <v>3.2818181818181822</v>
      </c>
      <c r="F13" t="s">
        <v>168</v>
      </c>
      <c r="G13" s="128">
        <f>(COUNT(B6:C6)-1)*(COUNT(B6:B7)-1)</f>
        <v>1</v>
      </c>
      <c r="K13" s="404">
        <f t="shared" si="1"/>
        <v>7</v>
      </c>
      <c r="L13">
        <f t="shared" si="2"/>
        <v>5.0522233184771913E-2</v>
      </c>
      <c r="M13">
        <f t="shared" si="3"/>
        <v>0.99419929915285987</v>
      </c>
      <c r="O13">
        <f t="shared" si="0"/>
        <v>0.99419929915285954</v>
      </c>
    </row>
    <row r="14" spans="1:15" x14ac:dyDescent="0.25">
      <c r="A14" t="s">
        <v>288</v>
      </c>
      <c r="B14" s="10">
        <f>(B7-G7)^2/G7</f>
        <v>1.1720779220779223</v>
      </c>
      <c r="C14" s="12">
        <f>(C7-H7)^2/H7</f>
        <v>1.2892857142857144</v>
      </c>
      <c r="D14">
        <f>SUM(B14:C14)</f>
        <v>2.4613636363636369</v>
      </c>
      <c r="F14" s="54" t="s">
        <v>271</v>
      </c>
      <c r="G14" s="128">
        <f>D15</f>
        <v>5.7431818181818191</v>
      </c>
      <c r="K14" s="404">
        <f t="shared" si="1"/>
        <v>8</v>
      </c>
      <c r="L14">
        <f t="shared" si="2"/>
        <v>5.6135814649746546E-3</v>
      </c>
      <c r="M14">
        <f t="shared" si="3"/>
        <v>0.99981288061783458</v>
      </c>
      <c r="O14">
        <f t="shared" si="0"/>
        <v>0.99981288061783413</v>
      </c>
    </row>
    <row r="15" spans="1:15" x14ac:dyDescent="0.25">
      <c r="C15" s="19" t="s">
        <v>292</v>
      </c>
      <c r="D15">
        <f>SUM(D13:D14)</f>
        <v>5.7431818181818191</v>
      </c>
      <c r="F15" s="54" t="s">
        <v>182</v>
      </c>
      <c r="G15" s="128">
        <f>CHIDIST(G14,G13)</f>
        <v>1.6552780261048484E-2</v>
      </c>
      <c r="K15" s="405">
        <f>K14+1</f>
        <v>9</v>
      </c>
      <c r="L15" s="11">
        <f t="shared" si="2"/>
        <v>1.8711938216582169E-4</v>
      </c>
      <c r="M15" s="11">
        <f t="shared" si="3"/>
        <v>1.0000000000000004</v>
      </c>
      <c r="N15" s="8"/>
      <c r="O15" s="11">
        <f t="shared" si="0"/>
        <v>1</v>
      </c>
    </row>
    <row r="16" spans="1:15" x14ac:dyDescent="0.25">
      <c r="F16" s="54" t="s">
        <v>272</v>
      </c>
      <c r="G16" s="128">
        <f>CHIINV(G12,G13)</f>
        <v>3.8414588206941236</v>
      </c>
    </row>
    <row r="17" spans="6:17" x14ac:dyDescent="0.25">
      <c r="F17" s="54" t="s">
        <v>381</v>
      </c>
      <c r="G17" s="116" t="str">
        <f>IF(G15&lt;G12,"yes","no")</f>
        <v>yes</v>
      </c>
      <c r="K17" t="s">
        <v>510</v>
      </c>
      <c r="L17" s="315">
        <f>SUM(L6:L8)</f>
        <v>2.4172422005239329E-2</v>
      </c>
      <c r="O17" s="154" t="e">
        <f ca="1">FISHERTEST(B6:C7,1)</f>
        <v>#NAME?</v>
      </c>
      <c r="Q17" s="22" t="s">
        <v>512</v>
      </c>
    </row>
    <row r="18" spans="6:17" x14ac:dyDescent="0.25">
      <c r="K18" t="s">
        <v>511</v>
      </c>
      <c r="L18" s="155">
        <f>L17+SUM(L14:L15)</f>
        <v>2.9973122852379804E-2</v>
      </c>
      <c r="O18" s="155" t="e">
        <f ca="1">FISHERTEST(B6:C7,2)</f>
        <v>#NAME?</v>
      </c>
      <c r="Q18" s="22" t="s">
        <v>513</v>
      </c>
    </row>
    <row r="20" spans="6:17" x14ac:dyDescent="0.25">
      <c r="K20" t="s">
        <v>510</v>
      </c>
      <c r="L20" s="315">
        <f>MIN(M8,1-M7)</f>
        <v>2.4172422005239329E-2</v>
      </c>
    </row>
    <row r="21" spans="6:17" x14ac:dyDescent="0.25">
      <c r="K21" t="s">
        <v>511</v>
      </c>
      <c r="L21" s="155">
        <f>L20+1-M13</f>
        <v>2.9973122852379408E-2</v>
      </c>
    </row>
  </sheetData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/>
  <dimension ref="A1:AA19"/>
  <sheetViews>
    <sheetView workbookViewId="0"/>
  </sheetViews>
  <sheetFormatPr defaultRowHeight="15" x14ac:dyDescent="0.25"/>
  <cols>
    <col min="1" max="1" width="13.28515625" customWidth="1"/>
    <col min="2" max="5" width="9.85546875" customWidth="1"/>
    <col min="6" max="6" width="13.140625" customWidth="1"/>
    <col min="7" max="8" width="10.28515625" customWidth="1"/>
    <col min="9" max="10" width="9.85546875" customWidth="1"/>
    <col min="11" max="11" width="9.140625" customWidth="1"/>
    <col min="18" max="18" width="11" bestFit="1" customWidth="1"/>
    <col min="20" max="20" width="4.28515625" customWidth="1"/>
    <col min="21" max="22" width="7.5703125" customWidth="1"/>
    <col min="23" max="23" width="5.140625" customWidth="1"/>
    <col min="24" max="24" width="10.42578125" customWidth="1"/>
    <col min="26" max="26" width="3" customWidth="1"/>
    <col min="27" max="27" width="45.85546875" customWidth="1"/>
  </cols>
  <sheetData>
    <row r="1" spans="1:27" x14ac:dyDescent="0.25">
      <c r="A1" s="1" t="s">
        <v>508</v>
      </c>
      <c r="T1" t="s">
        <v>302</v>
      </c>
    </row>
    <row r="2" spans="1:27" x14ac:dyDescent="0.25">
      <c r="X2" t="s">
        <v>182</v>
      </c>
      <c r="Y2" s="45" t="e">
        <f ca="1">FISHERTEST(U4:V6)</f>
        <v>#NAME?</v>
      </c>
      <c r="AA2" t="e">
        <f ca="1">FTEXT(Y2)</f>
        <v>#NAME?</v>
      </c>
    </row>
    <row r="3" spans="1:27" x14ac:dyDescent="0.25">
      <c r="B3" s="502" t="s">
        <v>1380</v>
      </c>
      <c r="C3" s="502" t="s">
        <v>1381</v>
      </c>
      <c r="F3" t="s">
        <v>283</v>
      </c>
      <c r="K3" t="s">
        <v>256</v>
      </c>
      <c r="U3" s="537" t="s">
        <v>359</v>
      </c>
      <c r="V3" s="537" t="s">
        <v>307</v>
      </c>
      <c r="X3" t="s">
        <v>64</v>
      </c>
      <c r="Y3" s="163">
        <f>SUM(U4:V6)</f>
        <v>171</v>
      </c>
      <c r="AA3" t="e">
        <f ca="1">FTEXT(Y3)</f>
        <v>#NAME?</v>
      </c>
    </row>
    <row r="4" spans="1:27" x14ac:dyDescent="0.25">
      <c r="A4" t="s">
        <v>1377</v>
      </c>
      <c r="B4" s="316">
        <v>32</v>
      </c>
      <c r="C4" s="317">
        <v>63</v>
      </c>
      <c r="D4">
        <f>SUM(B4:C4)</f>
        <v>95</v>
      </c>
      <c r="T4" s="537" t="s">
        <v>1382</v>
      </c>
      <c r="U4" s="415">
        <v>34</v>
      </c>
      <c r="V4" s="411">
        <v>12</v>
      </c>
      <c r="X4" t="s">
        <v>168</v>
      </c>
      <c r="Y4" s="163">
        <f>(COUNT(U4:U6)-1)*(COUNT(U4:V4)-1)</f>
        <v>2</v>
      </c>
      <c r="AA4" t="e">
        <f ca="1">FTEXT(Y4)</f>
        <v>#NAME?</v>
      </c>
    </row>
    <row r="5" spans="1:27" ht="15.75" thickBot="1" x14ac:dyDescent="0.3">
      <c r="A5" t="s">
        <v>1378</v>
      </c>
      <c r="B5" s="166">
        <v>44</v>
      </c>
      <c r="C5" s="167">
        <v>19</v>
      </c>
      <c r="D5">
        <f>SUM(B5:C5)</f>
        <v>63</v>
      </c>
      <c r="F5" t="str">
        <f>IF(A3="","",A3)</f>
        <v/>
      </c>
      <c r="G5" s="495" t="str">
        <f>IF(B3="","",B3)</f>
        <v>Pro Life</v>
      </c>
      <c r="H5" s="495" t="str">
        <f>IF(C3="","",C3)</f>
        <v>Pro Choice</v>
      </c>
      <c r="I5" s="19" t="s">
        <v>12</v>
      </c>
      <c r="K5" t="s">
        <v>176</v>
      </c>
      <c r="M5" t="s">
        <v>114</v>
      </c>
      <c r="N5">
        <v>0.05</v>
      </c>
      <c r="T5" s="537" t="s">
        <v>1383</v>
      </c>
      <c r="U5" s="169">
        <v>56</v>
      </c>
      <c r="V5" s="161">
        <v>34</v>
      </c>
      <c r="X5" t="s">
        <v>1655</v>
      </c>
      <c r="Y5" s="163" t="e">
        <f ca="1">CHIINV(Y2,Y4)</f>
        <v>#NAME?</v>
      </c>
      <c r="AA5" s="22" t="s">
        <v>1658</v>
      </c>
    </row>
    <row r="6" spans="1:27" ht="15.75" thickTop="1" x14ac:dyDescent="0.25">
      <c r="A6" t="s">
        <v>1379</v>
      </c>
      <c r="B6" s="148">
        <v>49</v>
      </c>
      <c r="C6" s="153">
        <v>51</v>
      </c>
      <c r="D6">
        <f>SUM(B6:C6)</f>
        <v>100</v>
      </c>
      <c r="F6" t="str">
        <f>IF(A4="","",A4)</f>
        <v>Democrat</v>
      </c>
      <c r="G6" s="496">
        <f t="array" ref="G6:H8">MMULT(I6:I8,G9:H9)/I9</f>
        <v>46.027131782945737</v>
      </c>
      <c r="H6" s="497">
        <v>48.972868217054263</v>
      </c>
      <c r="I6">
        <f>SUM(B4:C4)</f>
        <v>95</v>
      </c>
      <c r="K6" s="291" t="s">
        <v>87</v>
      </c>
      <c r="L6" s="291" t="s">
        <v>312</v>
      </c>
      <c r="M6" s="291" t="s">
        <v>313</v>
      </c>
      <c r="N6" s="291" t="s">
        <v>168</v>
      </c>
      <c r="T6" s="537" t="s">
        <v>1277</v>
      </c>
      <c r="U6" s="157">
        <v>12</v>
      </c>
      <c r="V6" s="150">
        <v>23</v>
      </c>
      <c r="X6" t="s">
        <v>1656</v>
      </c>
      <c r="Y6" s="163" t="e">
        <f ca="1">Y7/SQRT(MIN(COUNT(U4:U6),COUNT(U4:V4))-1)</f>
        <v>#NAME?</v>
      </c>
      <c r="AA6" t="e">
        <f ca="1">FTEXT(Y6)</f>
        <v>#NAME?</v>
      </c>
    </row>
    <row r="7" spans="1:27" x14ac:dyDescent="0.25">
      <c r="B7">
        <f>SUM(B4:B6)</f>
        <v>125</v>
      </c>
      <c r="C7">
        <f>SUM(C4:C6)</f>
        <v>133</v>
      </c>
      <c r="D7">
        <f>SUM(B7:C7)</f>
        <v>258</v>
      </c>
      <c r="F7" t="str">
        <f>IF(A5="","",A5)</f>
        <v>Republican</v>
      </c>
      <c r="G7" s="162">
        <v>30.523255813953487</v>
      </c>
      <c r="H7" s="102">
        <v>32.47674418604651</v>
      </c>
      <c r="I7">
        <f>SUM(B5:C5)</f>
        <v>63</v>
      </c>
      <c r="K7">
        <f>I9</f>
        <v>258</v>
      </c>
      <c r="L7">
        <f>COUNT(B4:B6)</f>
        <v>3</v>
      </c>
      <c r="M7">
        <f>COUNT(B4:C4)</f>
        <v>2</v>
      </c>
      <c r="N7">
        <f>(L7-1)*(M7-1)</f>
        <v>2</v>
      </c>
      <c r="X7" t="s">
        <v>1657</v>
      </c>
      <c r="Y7" s="155" t="e">
        <f ca="1">SQRT(Y5/Y3)</f>
        <v>#NAME?</v>
      </c>
      <c r="AA7" t="e">
        <f ca="1">FTEXT(Y7)</f>
        <v>#NAME?</v>
      </c>
    </row>
    <row r="8" spans="1:27" x14ac:dyDescent="0.25">
      <c r="F8" t="str">
        <f>IF(A6="","",A6)</f>
        <v>Independent</v>
      </c>
      <c r="G8" s="273">
        <v>48.449612403100772</v>
      </c>
      <c r="H8" s="275">
        <v>51.550387596899228</v>
      </c>
      <c r="I8">
        <f>SUM(B6:C6)</f>
        <v>100</v>
      </c>
    </row>
    <row r="9" spans="1:27" ht="15.75" thickBot="1" x14ac:dyDescent="0.3">
      <c r="F9" t="s">
        <v>12</v>
      </c>
      <c r="G9">
        <f>SUM(B4:B6)</f>
        <v>125</v>
      </c>
      <c r="H9">
        <f>SUM(C4:C6)</f>
        <v>133</v>
      </c>
      <c r="I9">
        <f>SUM(I6:I8)</f>
        <v>258</v>
      </c>
      <c r="K9" t="s">
        <v>314</v>
      </c>
      <c r="U9" s="577" t="s">
        <v>359</v>
      </c>
      <c r="V9" s="577" t="s">
        <v>307</v>
      </c>
      <c r="X9" t="e">
        <f t="array" aca="1" ref="X9:Y14" ca="1">FISHER_TEST(U4:V6,TRUE)</f>
        <v>#NAME?</v>
      </c>
      <c r="Y9" s="45" t="e">
        <f ca="1"/>
        <v>#NAME?</v>
      </c>
      <c r="AA9" t="e">
        <f ca="1">FTEXT(Y9)</f>
        <v>#NAME?</v>
      </c>
    </row>
    <row r="10" spans="1:27" ht="15.75" thickTop="1" x14ac:dyDescent="0.25">
      <c r="K10" s="291" t="s">
        <v>181</v>
      </c>
      <c r="L10" s="291" t="s">
        <v>264</v>
      </c>
      <c r="M10" s="291" t="s">
        <v>182</v>
      </c>
      <c r="N10" s="291" t="s">
        <v>276</v>
      </c>
      <c r="O10" s="291" t="s">
        <v>381</v>
      </c>
      <c r="P10" s="291" t="s">
        <v>316</v>
      </c>
      <c r="T10" s="577" t="s">
        <v>1382</v>
      </c>
      <c r="U10" s="415">
        <v>34</v>
      </c>
      <c r="V10" s="411">
        <v>12</v>
      </c>
      <c r="X10" t="e">
        <f ca="1"/>
        <v>#NAME?</v>
      </c>
      <c r="Y10" s="163" t="e">
        <f ca="1"/>
        <v>#NAME?</v>
      </c>
    </row>
    <row r="11" spans="1:27" x14ac:dyDescent="0.25">
      <c r="G11" t="s">
        <v>508</v>
      </c>
      <c r="K11" t="s">
        <v>315</v>
      </c>
      <c r="L11" t="e">
        <f ca="1">CHI_STAT2(B4:C6,G6:H8)</f>
        <v>#NAME?</v>
      </c>
      <c r="M11" t="e">
        <f ca="1">CHIDIST(L11,N7)</f>
        <v>#NAME?</v>
      </c>
      <c r="N11">
        <f>CHIINV(N5,N7)</f>
        <v>5.9914645471079817</v>
      </c>
      <c r="O11" s="495" t="e">
        <f ca="1">IF(N11&lt;L11,"yes","no")</f>
        <v>#NAME?</v>
      </c>
      <c r="P11" t="e">
        <f ca="1">SQRT(L11/(K7*(MIN(L7,M7)-1)))</f>
        <v>#NAME?</v>
      </c>
      <c r="T11" s="577" t="s">
        <v>1383</v>
      </c>
      <c r="U11" s="169">
        <v>56</v>
      </c>
      <c r="V11" s="161">
        <v>34</v>
      </c>
      <c r="X11" t="e">
        <f ca="1"/>
        <v>#NAME?</v>
      </c>
      <c r="Y11" s="163" t="e">
        <f ca="1"/>
        <v>#NAME?</v>
      </c>
    </row>
    <row r="12" spans="1:27" x14ac:dyDescent="0.25">
      <c r="K12" t="s">
        <v>317</v>
      </c>
      <c r="L12" t="e">
        <f ca="1">CHI_MAX2(B4:C6,G6:H8)</f>
        <v>#NAME?</v>
      </c>
      <c r="M12" t="e">
        <f ca="1">CHIDIST(L12,N7)</f>
        <v>#NAME?</v>
      </c>
      <c r="N12">
        <f>CHIINV(N5,N7)</f>
        <v>5.9914645471079817</v>
      </c>
      <c r="O12" s="495" t="e">
        <f ca="1">IF(N12&lt;L12,"yes","no")</f>
        <v>#NAME?</v>
      </c>
      <c r="P12" t="e">
        <f ca="1">SQRT(L12/(K7*(MIN(L7,M7)-1)))</f>
        <v>#NAME?</v>
      </c>
      <c r="T12" s="577" t="s">
        <v>1277</v>
      </c>
      <c r="U12" s="157">
        <v>12</v>
      </c>
      <c r="V12" s="150">
        <v>23</v>
      </c>
      <c r="X12" t="e">
        <f ca="1"/>
        <v>#NAME?</v>
      </c>
      <c r="Y12" s="163" t="e">
        <f ca="1"/>
        <v>#NAME?</v>
      </c>
    </row>
    <row r="13" spans="1:27" x14ac:dyDescent="0.25">
      <c r="G13" t="s">
        <v>182</v>
      </c>
      <c r="H13" s="498" t="e">
        <f ca="1">FISHERTEST(B4:C6)</f>
        <v>#NAME?</v>
      </c>
      <c r="K13" s="5"/>
      <c r="L13" s="5"/>
      <c r="M13" s="5"/>
      <c r="N13" s="5"/>
      <c r="O13" s="5"/>
      <c r="P13" s="5"/>
      <c r="X13" t="e">
        <f ca="1"/>
        <v>#NAME?</v>
      </c>
      <c r="Y13" s="163" t="e">
        <f ca="1"/>
        <v>#NAME?</v>
      </c>
    </row>
    <row r="14" spans="1:27" x14ac:dyDescent="0.25">
      <c r="X14" t="e">
        <f ca="1"/>
        <v>#NAME?</v>
      </c>
      <c r="Y14" s="155" t="e">
        <f ca="1"/>
        <v>#NAME?</v>
      </c>
    </row>
    <row r="15" spans="1:27" x14ac:dyDescent="0.25">
      <c r="B15" s="495" t="s">
        <v>359</v>
      </c>
      <c r="C15" s="495" t="s">
        <v>307</v>
      </c>
      <c r="D15" s="495" t="s">
        <v>308</v>
      </c>
      <c r="K15" s="495" t="s">
        <v>359</v>
      </c>
      <c r="L15" s="495" t="s">
        <v>307</v>
      </c>
      <c r="M15" s="495" t="s">
        <v>308</v>
      </c>
      <c r="N15" s="495" t="s">
        <v>309</v>
      </c>
      <c r="Q15" t="s">
        <v>508</v>
      </c>
    </row>
    <row r="16" spans="1:27" x14ac:dyDescent="0.25">
      <c r="A16" s="495" t="s">
        <v>1382</v>
      </c>
      <c r="B16" s="316">
        <v>25</v>
      </c>
      <c r="C16" s="5">
        <v>22</v>
      </c>
      <c r="D16" s="317">
        <v>32</v>
      </c>
      <c r="E16">
        <f>SUM(B16:D16)</f>
        <v>79</v>
      </c>
      <c r="G16" t="s">
        <v>508</v>
      </c>
      <c r="J16" s="495" t="s">
        <v>1382</v>
      </c>
      <c r="K16" s="316">
        <v>134</v>
      </c>
      <c r="L16" s="5">
        <v>200</v>
      </c>
      <c r="M16" s="5">
        <v>91</v>
      </c>
      <c r="N16" s="317">
        <v>86</v>
      </c>
      <c r="O16">
        <f>SUM(K16:N16)</f>
        <v>511</v>
      </c>
    </row>
    <row r="17" spans="1:18" x14ac:dyDescent="0.25">
      <c r="A17" s="495" t="s">
        <v>1383</v>
      </c>
      <c r="B17" s="166">
        <v>15</v>
      </c>
      <c r="C17" s="8">
        <v>4</v>
      </c>
      <c r="D17" s="167">
        <v>19</v>
      </c>
      <c r="E17">
        <f>SUM(B17:D17)</f>
        <v>38</v>
      </c>
      <c r="J17" s="495" t="s">
        <v>1383</v>
      </c>
      <c r="K17" s="148">
        <v>178</v>
      </c>
      <c r="L17" s="276">
        <v>203</v>
      </c>
      <c r="M17" s="276">
        <v>70</v>
      </c>
      <c r="N17" s="153">
        <v>145</v>
      </c>
      <c r="O17">
        <f>SUM(K17:N17)</f>
        <v>596</v>
      </c>
      <c r="Q17" t="s">
        <v>182</v>
      </c>
      <c r="R17" s="498" t="e">
        <f ca="1">FISHERTEST(K16:N17)</f>
        <v>#NAME?</v>
      </c>
    </row>
    <row r="18" spans="1:18" x14ac:dyDescent="0.25">
      <c r="A18" s="495" t="s">
        <v>1277</v>
      </c>
      <c r="B18" s="148">
        <v>35</v>
      </c>
      <c r="C18" s="276">
        <v>14</v>
      </c>
      <c r="D18" s="153">
        <v>23</v>
      </c>
      <c r="E18">
        <f>SUM(B18:D18)</f>
        <v>72</v>
      </c>
      <c r="G18" t="s">
        <v>182</v>
      </c>
      <c r="H18" s="498" t="e">
        <f ca="1">FISHERTEST(B16:D18)</f>
        <v>#NAME?</v>
      </c>
      <c r="K18">
        <f>SUM(K16:K17)</f>
        <v>312</v>
      </c>
      <c r="L18">
        <f>SUM(L16:L17)</f>
        <v>403</v>
      </c>
      <c r="M18">
        <f>SUM(M16:M17)</f>
        <v>161</v>
      </c>
      <c r="N18">
        <f>SUM(N16:N17)</f>
        <v>231</v>
      </c>
      <c r="O18">
        <f>SUM(K18:N18)</f>
        <v>1107</v>
      </c>
    </row>
    <row r="19" spans="1:18" x14ac:dyDescent="0.25">
      <c r="B19">
        <f>SUM(B16:B18)</f>
        <v>75</v>
      </c>
      <c r="C19">
        <f>SUM(C16:C18)</f>
        <v>40</v>
      </c>
      <c r="D19">
        <f>SUM(D16:D18)</f>
        <v>74</v>
      </c>
      <c r="E19">
        <f>SUM(B19:D19)</f>
        <v>189</v>
      </c>
    </row>
  </sheetData>
  <pageMargins left="0.7" right="0.7" top="0.75" bottom="0.75" header="0.3" footer="0.3"/>
  <pageSetup paperSize="9" orientation="portrait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0"/>
  <sheetViews>
    <sheetView workbookViewId="0">
      <selection activeCell="F18" sqref="F18"/>
    </sheetView>
  </sheetViews>
  <sheetFormatPr defaultRowHeight="15" x14ac:dyDescent="0.25"/>
  <cols>
    <col min="1" max="1" width="4.28515625" customWidth="1"/>
    <col min="4" max="5" width="10" customWidth="1"/>
  </cols>
  <sheetData>
    <row r="1" spans="1:5" x14ac:dyDescent="0.25">
      <c r="A1" s="1" t="s">
        <v>1581</v>
      </c>
    </row>
    <row r="3" spans="1:5" x14ac:dyDescent="0.25">
      <c r="B3" s="563" t="s">
        <v>1572</v>
      </c>
      <c r="C3" s="563" t="s">
        <v>1573</v>
      </c>
      <c r="D3" s="563" t="s">
        <v>1574</v>
      </c>
      <c r="E3" s="563" t="s">
        <v>1575</v>
      </c>
    </row>
    <row r="4" spans="1:5" x14ac:dyDescent="0.25">
      <c r="B4" s="67" t="s">
        <v>1576</v>
      </c>
      <c r="C4" s="68" t="s">
        <v>1577</v>
      </c>
      <c r="D4" s="67">
        <v>43</v>
      </c>
      <c r="E4" s="68">
        <v>205</v>
      </c>
    </row>
    <row r="5" spans="1:5" x14ac:dyDescent="0.25">
      <c r="B5" s="169" t="s">
        <v>1576</v>
      </c>
      <c r="C5" s="161" t="s">
        <v>1578</v>
      </c>
      <c r="D5" s="169">
        <v>7</v>
      </c>
      <c r="E5" s="161">
        <v>65</v>
      </c>
    </row>
    <row r="6" spans="1:5" x14ac:dyDescent="0.25">
      <c r="B6" s="169" t="s">
        <v>1579</v>
      </c>
      <c r="C6" s="161" t="s">
        <v>1577</v>
      </c>
      <c r="D6" s="169">
        <v>78</v>
      </c>
      <c r="E6" s="161">
        <v>345</v>
      </c>
    </row>
    <row r="7" spans="1:5" x14ac:dyDescent="0.25">
      <c r="B7" s="169" t="s">
        <v>1579</v>
      </c>
      <c r="C7" s="161" t="s">
        <v>1578</v>
      </c>
      <c r="D7" s="169">
        <v>14</v>
      </c>
      <c r="E7" s="161">
        <v>104</v>
      </c>
    </row>
    <row r="8" spans="1:5" x14ac:dyDescent="0.25">
      <c r="B8" s="169" t="s">
        <v>1580</v>
      </c>
      <c r="C8" s="161" t="s">
        <v>1577</v>
      </c>
      <c r="D8" s="169">
        <v>33</v>
      </c>
      <c r="E8" s="161">
        <v>113</v>
      </c>
    </row>
    <row r="9" spans="1:5" x14ac:dyDescent="0.25">
      <c r="B9" s="157" t="s">
        <v>1580</v>
      </c>
      <c r="C9" s="150" t="s">
        <v>1578</v>
      </c>
      <c r="D9" s="157">
        <v>13</v>
      </c>
      <c r="E9" s="150">
        <v>55</v>
      </c>
    </row>
    <row r="10" spans="1:5" x14ac:dyDescent="0.25">
      <c r="D10" s="563">
        <f>SUM(D4:D9)</f>
        <v>188</v>
      </c>
      <c r="E10" s="563">
        <f>SUM(E4:E9)</f>
        <v>887</v>
      </c>
    </row>
  </sheetData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T46"/>
  <sheetViews>
    <sheetView workbookViewId="0"/>
  </sheetViews>
  <sheetFormatPr defaultRowHeight="15" x14ac:dyDescent="0.25"/>
  <cols>
    <col min="1" max="6" width="6.140625" customWidth="1"/>
    <col min="7" max="7" width="4.42578125" customWidth="1"/>
    <col min="10" max="10" width="9.140625" customWidth="1"/>
    <col min="17" max="17" width="9.85546875" customWidth="1"/>
    <col min="19" max="19" width="4.140625" customWidth="1"/>
  </cols>
  <sheetData>
    <row r="1" spans="1:20" x14ac:dyDescent="0.25">
      <c r="A1" s="1" t="s">
        <v>1581</v>
      </c>
    </row>
    <row r="2" spans="1:20" x14ac:dyDescent="0.25">
      <c r="R2" t="s">
        <v>1582</v>
      </c>
      <c r="T2" t="s">
        <v>1583</v>
      </c>
    </row>
    <row r="3" spans="1:20" x14ac:dyDescent="0.25">
      <c r="B3" s="563" t="s">
        <v>136</v>
      </c>
      <c r="C3" s="563" t="s">
        <v>137</v>
      </c>
      <c r="D3" s="563" t="s">
        <v>138</v>
      </c>
      <c r="E3" s="563" t="s">
        <v>139</v>
      </c>
      <c r="F3" s="563" t="s">
        <v>105</v>
      </c>
      <c r="H3" s="563" t="s">
        <v>1584</v>
      </c>
      <c r="I3" s="563" t="s">
        <v>1507</v>
      </c>
      <c r="K3" s="565" t="s">
        <v>1585</v>
      </c>
      <c r="L3" s="565" t="s">
        <v>1586</v>
      </c>
      <c r="M3" s="565" t="s">
        <v>1587</v>
      </c>
    </row>
    <row r="4" spans="1:20" x14ac:dyDescent="0.25">
      <c r="A4" s="563" t="s">
        <v>1588</v>
      </c>
      <c r="B4" s="67">
        <v>43</v>
      </c>
      <c r="C4" s="566">
        <v>205</v>
      </c>
      <c r="D4" s="566">
        <v>7</v>
      </c>
      <c r="E4" s="68">
        <v>65</v>
      </c>
      <c r="F4" s="563">
        <f>SUM(B4:E4)</f>
        <v>320</v>
      </c>
      <c r="H4" s="4">
        <f>(B4+C4)*(B4+D4)/F4</f>
        <v>38.75</v>
      </c>
      <c r="I4" s="6">
        <f>(B4+C4)*(B4+D4)*(C4+E4)*(D4+E4)/(F4^2*(F4-1))</f>
        <v>7.3795062695924765</v>
      </c>
      <c r="K4" s="4">
        <f>B4*E4/F4</f>
        <v>8.734375</v>
      </c>
      <c r="L4" s="292">
        <f>C4*D4/F4</f>
        <v>4.484375</v>
      </c>
      <c r="M4" s="6">
        <f>K4/L4</f>
        <v>1.9477351916376306</v>
      </c>
      <c r="Q4" t="e">
        <f t="array" aca="1" ref="Q4:R8" ca="1">CMHTEST(B4:E6,TRUE)</f>
        <v>#NAME?</v>
      </c>
      <c r="R4" s="45" t="e">
        <f ca="1"/>
        <v>#NAME?</v>
      </c>
      <c r="T4" s="45" t="e">
        <f t="array" aca="1" ref="T4:T8" ca="1">CMHTEST(B4:E6,,FALSE)</f>
        <v>#NAME?</v>
      </c>
    </row>
    <row r="5" spans="1:20" x14ac:dyDescent="0.25">
      <c r="A5" s="563" t="s">
        <v>429</v>
      </c>
      <c r="B5" s="169">
        <v>78</v>
      </c>
      <c r="C5" s="565">
        <v>345</v>
      </c>
      <c r="D5" s="565">
        <v>14</v>
      </c>
      <c r="E5" s="161">
        <v>104</v>
      </c>
      <c r="F5" s="563">
        <f>SUM(B5:E5)</f>
        <v>541</v>
      </c>
      <c r="H5" s="166">
        <f>(B5+C5)*(B5+D5)/F5</f>
        <v>71.93345656192237</v>
      </c>
      <c r="I5" s="167">
        <f>(B5+C5)*(B5+D5)*(C5+E5)*(D5+E5)/(F5^2*(F5-1))</f>
        <v>13.045726006585099</v>
      </c>
      <c r="K5" s="166">
        <f>B5*E5/F5</f>
        <v>14.99445471349353</v>
      </c>
      <c r="L5" s="8">
        <f>C5*D5/F5</f>
        <v>8.9279112754158962</v>
      </c>
      <c r="M5" s="167">
        <f>K5/L5</f>
        <v>1.6795031055900622</v>
      </c>
      <c r="Q5" t="e">
        <f ca="1"/>
        <v>#NAME?</v>
      </c>
      <c r="R5" s="163" t="e">
        <f ca="1"/>
        <v>#NAME?</v>
      </c>
      <c r="T5" s="163" t="e">
        <f ca="1"/>
        <v>#NAME?</v>
      </c>
    </row>
    <row r="6" spans="1:20" x14ac:dyDescent="0.25">
      <c r="A6" s="563" t="s">
        <v>1404</v>
      </c>
      <c r="B6" s="157">
        <v>33</v>
      </c>
      <c r="C6" s="527">
        <v>113</v>
      </c>
      <c r="D6" s="527">
        <v>13</v>
      </c>
      <c r="E6" s="150">
        <v>55</v>
      </c>
      <c r="F6" s="563">
        <f>SUM(B6:E6)</f>
        <v>214</v>
      </c>
      <c r="H6" s="148">
        <f>(B6+C6)*(B6+D6)/F6</f>
        <v>31.383177570093459</v>
      </c>
      <c r="I6" s="153">
        <f>(B6+C6)*(B6+D6)*(C6+E6)*(D6+E6)/(F6^2*(F6-1))</f>
        <v>7.8654166241224095</v>
      </c>
      <c r="K6" s="148">
        <f>B6*E6/F6</f>
        <v>8.4813084112149539</v>
      </c>
      <c r="L6" s="276">
        <f>C6*D6/F6</f>
        <v>6.8644859813084116</v>
      </c>
      <c r="M6" s="153">
        <f>K6/L6</f>
        <v>1.2355343771272975</v>
      </c>
      <c r="Q6" t="e">
        <f ca="1"/>
        <v>#NAME?</v>
      </c>
      <c r="R6" s="163" t="e">
        <f ca="1"/>
        <v>#NAME?</v>
      </c>
      <c r="T6" s="163" t="e">
        <f ca="1"/>
        <v>#NAME?</v>
      </c>
    </row>
    <row r="7" spans="1:20" x14ac:dyDescent="0.25">
      <c r="B7" s="563">
        <f>SUM(B4:B6)</f>
        <v>154</v>
      </c>
      <c r="C7" s="563">
        <f>SUM(C4:C6)</f>
        <v>663</v>
      </c>
      <c r="D7" s="563">
        <f>SUM(D4:D6)</f>
        <v>34</v>
      </c>
      <c r="E7" s="563">
        <f>SUM(E4:E6)</f>
        <v>224</v>
      </c>
      <c r="F7" s="563">
        <f>SUM(B7:E7)</f>
        <v>1075</v>
      </c>
      <c r="H7">
        <f>SUM(H4:H6)</f>
        <v>142.06663413201582</v>
      </c>
      <c r="I7">
        <f>SUM(I4:I6)</f>
        <v>28.290648900299985</v>
      </c>
      <c r="K7">
        <f>SUM(K4:K6)</f>
        <v>32.210138124708486</v>
      </c>
      <c r="L7">
        <f>SUM(L4:L6)</f>
        <v>20.276772256724307</v>
      </c>
      <c r="M7">
        <f>K7/L7</f>
        <v>1.5885239384698797</v>
      </c>
      <c r="Q7" t="e">
        <f ca="1"/>
        <v>#NAME?</v>
      </c>
      <c r="R7" s="163" t="e">
        <f ca="1"/>
        <v>#NAME?</v>
      </c>
      <c r="T7" s="163" t="e">
        <f ca="1"/>
        <v>#NAME?</v>
      </c>
    </row>
    <row r="8" spans="1:20" x14ac:dyDescent="0.25">
      <c r="Q8" t="e">
        <f ca="1"/>
        <v>#NAME?</v>
      </c>
      <c r="R8" s="155" t="e">
        <f ca="1"/>
        <v>#NAME?</v>
      </c>
      <c r="T8" s="155" t="e">
        <f ca="1"/>
        <v>#NAME?</v>
      </c>
    </row>
    <row r="9" spans="1:20" x14ac:dyDescent="0.25">
      <c r="H9" s="53" t="s">
        <v>1589</v>
      </c>
      <c r="I9" s="45">
        <f>(ABS(B7-H7)-0.5)^2/I7</f>
        <v>4.6206736201727594</v>
      </c>
      <c r="K9" s="53" t="s">
        <v>271</v>
      </c>
      <c r="L9" s="45">
        <f>(B7-H7)^2/I7</f>
        <v>5.0336498622221342</v>
      </c>
    </row>
    <row r="10" spans="1:20" x14ac:dyDescent="0.25">
      <c r="H10" t="s">
        <v>182</v>
      </c>
      <c r="I10" s="155">
        <f>_xlfn.CHISQ.DIST.RT(I9,1)</f>
        <v>3.1588830377669311E-2</v>
      </c>
      <c r="K10" t="s">
        <v>182</v>
      </c>
      <c r="L10" s="155">
        <f>_xlfn.CHISQ.DIST.RT(L9,1)</f>
        <v>2.4859456706264979E-2</v>
      </c>
    </row>
    <row r="11" spans="1:20" x14ac:dyDescent="0.25">
      <c r="I11" s="8"/>
      <c r="L11" s="8"/>
    </row>
    <row r="12" spans="1:20" x14ac:dyDescent="0.25">
      <c r="A12" t="s">
        <v>1590</v>
      </c>
      <c r="I12" s="8"/>
      <c r="L12" s="8"/>
    </row>
    <row r="14" spans="1:20" x14ac:dyDescent="0.25">
      <c r="A14" s="563"/>
      <c r="B14" s="563" t="s">
        <v>136</v>
      </c>
      <c r="C14" s="563" t="s">
        <v>137</v>
      </c>
      <c r="D14" s="563" t="s">
        <v>138</v>
      </c>
      <c r="E14" s="563" t="s">
        <v>139</v>
      </c>
      <c r="F14" s="563" t="s">
        <v>105</v>
      </c>
      <c r="H14" s="563" t="s">
        <v>177</v>
      </c>
      <c r="I14" s="563" t="s">
        <v>696</v>
      </c>
      <c r="J14" s="563" t="s">
        <v>1504</v>
      </c>
      <c r="K14" s="563" t="s">
        <v>755</v>
      </c>
      <c r="L14" s="563" t="s">
        <v>1591</v>
      </c>
      <c r="M14" s="563" t="s">
        <v>1592</v>
      </c>
      <c r="N14" s="563" t="s">
        <v>1593</v>
      </c>
      <c r="O14" s="563" t="s">
        <v>1594</v>
      </c>
    </row>
    <row r="15" spans="1:20" x14ac:dyDescent="0.25">
      <c r="A15" s="563" t="s">
        <v>1588</v>
      </c>
      <c r="B15" s="67">
        <f t="shared" ref="B15:E17" si="0">B4</f>
        <v>43</v>
      </c>
      <c r="C15" s="566">
        <f t="shared" si="0"/>
        <v>205</v>
      </c>
      <c r="D15" s="566">
        <f t="shared" si="0"/>
        <v>7</v>
      </c>
      <c r="E15" s="68">
        <f t="shared" si="0"/>
        <v>65</v>
      </c>
      <c r="F15" s="563">
        <f>SUM(B15:E15)</f>
        <v>320</v>
      </c>
      <c r="H15" s="4">
        <f>(B15+E15)/F15</f>
        <v>0.33750000000000002</v>
      </c>
      <c r="I15" s="292">
        <f>(C15+D15)/F15</f>
        <v>0.66249999999999998</v>
      </c>
      <c r="J15" s="292">
        <f>B15*E15/F15</f>
        <v>8.734375</v>
      </c>
      <c r="K15" s="6">
        <f>C15*D15/F15</f>
        <v>4.484375</v>
      </c>
      <c r="L15" s="4">
        <f>H15*J15</f>
        <v>2.9478515625000004</v>
      </c>
      <c r="M15" s="292">
        <f>H15*K15</f>
        <v>1.5134765625000002</v>
      </c>
      <c r="N15" s="292">
        <f>I15*J15</f>
        <v>5.7865234374999996</v>
      </c>
      <c r="O15" s="6">
        <f>I15*K15</f>
        <v>2.9708984374999998</v>
      </c>
    </row>
    <row r="16" spans="1:20" x14ac:dyDescent="0.25">
      <c r="A16" s="563" t="s">
        <v>429</v>
      </c>
      <c r="B16" s="169">
        <f t="shared" si="0"/>
        <v>78</v>
      </c>
      <c r="C16" s="565">
        <f t="shared" si="0"/>
        <v>345</v>
      </c>
      <c r="D16" s="565">
        <f t="shared" si="0"/>
        <v>14</v>
      </c>
      <c r="E16" s="161">
        <f t="shared" si="0"/>
        <v>104</v>
      </c>
      <c r="F16" s="563">
        <f>SUM(B16:E16)</f>
        <v>541</v>
      </c>
      <c r="H16" s="166">
        <f>(B16+E16)/F16</f>
        <v>0.33641404805914971</v>
      </c>
      <c r="I16" s="8">
        <f>(C16+D16)/F16</f>
        <v>0.66358595194085024</v>
      </c>
      <c r="J16" s="8">
        <f>B16*E16/F16</f>
        <v>14.99445471349353</v>
      </c>
      <c r="K16" s="167">
        <f>C16*D16/F16</f>
        <v>8.9279112754158962</v>
      </c>
      <c r="L16" s="166">
        <f>H16*J16</f>
        <v>5.0443452086059564</v>
      </c>
      <c r="M16" s="8">
        <f>H16*K16</f>
        <v>3.0034747728755877</v>
      </c>
      <c r="N16" s="8">
        <f>I16*J16</f>
        <v>9.950109504887573</v>
      </c>
      <c r="O16" s="167">
        <f>I16*K16</f>
        <v>5.9244365025403081</v>
      </c>
    </row>
    <row r="17" spans="1:18" x14ac:dyDescent="0.25">
      <c r="A17" s="563" t="s">
        <v>1404</v>
      </c>
      <c r="B17" s="157">
        <f t="shared" si="0"/>
        <v>33</v>
      </c>
      <c r="C17" s="527">
        <f t="shared" si="0"/>
        <v>113</v>
      </c>
      <c r="D17" s="527">
        <f t="shared" si="0"/>
        <v>13</v>
      </c>
      <c r="E17" s="150">
        <f t="shared" si="0"/>
        <v>55</v>
      </c>
      <c r="F17" s="563">
        <f>SUM(B17:E17)</f>
        <v>214</v>
      </c>
      <c r="H17" s="148">
        <f>(B17+E17)/F17</f>
        <v>0.41121495327102803</v>
      </c>
      <c r="I17" s="276">
        <f>(C17+D17)/F17</f>
        <v>0.58878504672897192</v>
      </c>
      <c r="J17" s="276">
        <f>B17*E17/F17</f>
        <v>8.4813084112149539</v>
      </c>
      <c r="K17" s="153">
        <f>C17*D17/F17</f>
        <v>6.8644859813084116</v>
      </c>
      <c r="L17" s="148">
        <f>H17*J17</f>
        <v>3.4876408419949341</v>
      </c>
      <c r="M17" s="276">
        <f>H17*K17</f>
        <v>2.8227792820333653</v>
      </c>
      <c r="N17" s="276">
        <f>I17*J17</f>
        <v>4.993667569220019</v>
      </c>
      <c r="O17" s="153">
        <f>I17*K17</f>
        <v>4.0417066992750454</v>
      </c>
    </row>
    <row r="18" spans="1:18" x14ac:dyDescent="0.25">
      <c r="A18" s="563"/>
      <c r="B18" s="563">
        <f>SUM(B15:B17)</f>
        <v>154</v>
      </c>
      <c r="C18" s="563">
        <f>SUM(C15:C17)</f>
        <v>663</v>
      </c>
      <c r="D18" s="563">
        <f>SUM(D15:D17)</f>
        <v>34</v>
      </c>
      <c r="E18" s="563">
        <f>SUM(E15:E17)</f>
        <v>224</v>
      </c>
      <c r="F18" s="563">
        <f>SUM(B18:E18)</f>
        <v>1075</v>
      </c>
      <c r="J18">
        <f t="shared" ref="J18:O18" si="1">SUM(J15:J17)</f>
        <v>32.210138124708486</v>
      </c>
      <c r="K18">
        <f t="shared" si="1"/>
        <v>20.276772256724307</v>
      </c>
      <c r="L18">
        <f t="shared" si="1"/>
        <v>11.479837613100891</v>
      </c>
      <c r="M18">
        <f t="shared" si="1"/>
        <v>7.3397306174089527</v>
      </c>
      <c r="N18">
        <f t="shared" si="1"/>
        <v>20.730300511607592</v>
      </c>
      <c r="O18">
        <f t="shared" si="1"/>
        <v>12.937041639315353</v>
      </c>
    </row>
    <row r="20" spans="1:18" x14ac:dyDescent="0.25">
      <c r="H20" s="563" t="s">
        <v>1595</v>
      </c>
      <c r="I20" s="205">
        <f>SQRT((L18/J18^2+O18/K18^2+(M18+N18)/(J18*K18))/2)</f>
        <v>0.20677185033591811</v>
      </c>
      <c r="K20" t="s">
        <v>1596</v>
      </c>
      <c r="L20" s="45">
        <f>K7/L7</f>
        <v>1.5885239384698797</v>
      </c>
    </row>
    <row r="21" spans="1:18" x14ac:dyDescent="0.25">
      <c r="K21" t="s">
        <v>262</v>
      </c>
      <c r="L21" s="163">
        <v>0.05</v>
      </c>
    </row>
    <row r="22" spans="1:18" x14ac:dyDescent="0.25">
      <c r="K22" t="s">
        <v>102</v>
      </c>
      <c r="L22" s="163">
        <f>EXP(LN(L20)-NORMSINV(1-L21/2)*I20)</f>
        <v>1.0592274957022367</v>
      </c>
    </row>
    <row r="23" spans="1:18" x14ac:dyDescent="0.25">
      <c r="K23" t="s">
        <v>103</v>
      </c>
      <c r="L23" s="155">
        <f>EXP(LN(L20)+NORMSINV(1-L21/2)*I20)</f>
        <v>2.3823100451323844</v>
      </c>
    </row>
    <row r="24" spans="1:18" x14ac:dyDescent="0.25">
      <c r="L24" s="8"/>
    </row>
    <row r="25" spans="1:18" x14ac:dyDescent="0.25">
      <c r="A25" t="s">
        <v>1597</v>
      </c>
      <c r="L25" s="8"/>
    </row>
    <row r="26" spans="1:18" x14ac:dyDescent="0.25">
      <c r="R26" t="s">
        <v>1598</v>
      </c>
    </row>
    <row r="27" spans="1:18" x14ac:dyDescent="0.25">
      <c r="A27" s="563"/>
      <c r="B27" s="563" t="s">
        <v>136</v>
      </c>
      <c r="C27" s="563" t="s">
        <v>137</v>
      </c>
      <c r="D27" s="563" t="s">
        <v>138</v>
      </c>
      <c r="E27" s="563" t="s">
        <v>139</v>
      </c>
      <c r="F27" s="563" t="s">
        <v>105</v>
      </c>
      <c r="H27" s="563" t="s">
        <v>1587</v>
      </c>
      <c r="I27" s="563" t="s">
        <v>250</v>
      </c>
    </row>
    <row r="28" spans="1:18" x14ac:dyDescent="0.25">
      <c r="A28" s="563" t="s">
        <v>1588</v>
      </c>
      <c r="B28" s="67">
        <f>B15</f>
        <v>43</v>
      </c>
      <c r="C28" s="566">
        <f>C15</f>
        <v>205</v>
      </c>
      <c r="D28" s="566">
        <f>D15</f>
        <v>7</v>
      </c>
      <c r="E28" s="68">
        <f>E15</f>
        <v>65</v>
      </c>
      <c r="F28" s="563">
        <f>SUM(B28:E28)</f>
        <v>320</v>
      </c>
      <c r="H28" s="4">
        <f>B28*E28/(C28*D28)</f>
        <v>1.9477351916376306</v>
      </c>
      <c r="I28" s="6">
        <f>1/SUMPRODUCT(1/B28:E28)</f>
        <v>5.36550861515411</v>
      </c>
      <c r="K28" t="s">
        <v>426</v>
      </c>
      <c r="L28" s="45">
        <f>SUMPRODUCT(I28:I30,(LN(H28:H30)-LN(H31))^2)</f>
        <v>0.72365730487955071</v>
      </c>
      <c r="Q28" t="e">
        <f t="array" aca="1" ref="Q28:R30" ca="1">WoolfTest(B28:E30,TRUE)</f>
        <v>#NAME?</v>
      </c>
      <c r="R28" s="45" t="e">
        <f ca="1"/>
        <v>#NAME?</v>
      </c>
    </row>
    <row r="29" spans="1:18" x14ac:dyDescent="0.25">
      <c r="A29" s="563" t="s">
        <v>429</v>
      </c>
      <c r="B29" s="169">
        <f t="shared" ref="B29:E30" si="2">B16</f>
        <v>78</v>
      </c>
      <c r="C29" s="565">
        <f t="shared" si="2"/>
        <v>345</v>
      </c>
      <c r="D29" s="565">
        <f t="shared" si="2"/>
        <v>14</v>
      </c>
      <c r="E29" s="161">
        <f t="shared" si="2"/>
        <v>104</v>
      </c>
      <c r="F29" s="563">
        <f>SUM(B29:E29)</f>
        <v>541</v>
      </c>
      <c r="H29" s="166">
        <f>B29*E29/(C29*D29)</f>
        <v>1.6795031055900622</v>
      </c>
      <c r="I29" s="167">
        <f>1/SUMPRODUCT(1/B29:E29)</f>
        <v>10.334526601654117</v>
      </c>
      <c r="K29" t="s">
        <v>168</v>
      </c>
      <c r="L29" s="163">
        <f>COUNTA(A28:A30)-1</f>
        <v>2</v>
      </c>
      <c r="Q29" t="e">
        <f ca="1"/>
        <v>#NAME?</v>
      </c>
      <c r="R29" s="163" t="e">
        <f ca="1"/>
        <v>#NAME?</v>
      </c>
    </row>
    <row r="30" spans="1:18" x14ac:dyDescent="0.25">
      <c r="A30" s="563" t="s">
        <v>1404</v>
      </c>
      <c r="B30" s="157">
        <f t="shared" si="2"/>
        <v>33</v>
      </c>
      <c r="C30" s="527">
        <f t="shared" si="2"/>
        <v>113</v>
      </c>
      <c r="D30" s="527">
        <f t="shared" si="2"/>
        <v>13</v>
      </c>
      <c r="E30" s="150">
        <f t="shared" si="2"/>
        <v>55</v>
      </c>
      <c r="F30" s="563">
        <f>SUM(B30:E30)</f>
        <v>214</v>
      </c>
      <c r="H30" s="148">
        <f>B30*E30/(C30*D30)</f>
        <v>1.2355343771272975</v>
      </c>
      <c r="I30" s="153">
        <f>1/SUMPRODUCT(1/B30:E30)</f>
        <v>7.4483744084567638</v>
      </c>
      <c r="K30" t="s">
        <v>182</v>
      </c>
      <c r="L30" s="155">
        <f>CHIDIST(L28,L29)</f>
        <v>0.6964016843487324</v>
      </c>
      <c r="Q30" t="e">
        <f ca="1"/>
        <v>#NAME?</v>
      </c>
      <c r="R30" s="155" t="e">
        <f ca="1"/>
        <v>#NAME?</v>
      </c>
    </row>
    <row r="31" spans="1:18" x14ac:dyDescent="0.25">
      <c r="A31" s="563"/>
      <c r="B31" s="563">
        <f>SUM(B28:B30)</f>
        <v>154</v>
      </c>
      <c r="C31" s="563">
        <f>SUM(C28:C30)</f>
        <v>663</v>
      </c>
      <c r="D31" s="563">
        <f>SUM(D28:D30)</f>
        <v>34</v>
      </c>
      <c r="E31" s="563">
        <f>SUM(E28:E30)</f>
        <v>224</v>
      </c>
      <c r="F31" s="563">
        <f>SUM(B31:E31)</f>
        <v>1075</v>
      </c>
      <c r="H31" s="8">
        <f>EXP(SUMPRODUCT(I28:I30,LN(H28:H30))/I31)</f>
        <v>1.5746945835888233</v>
      </c>
      <c r="I31">
        <f>SUM(I28:I30)</f>
        <v>23.148409625264993</v>
      </c>
    </row>
    <row r="34" spans="1:14" x14ac:dyDescent="0.25">
      <c r="A34" t="s">
        <v>1599</v>
      </c>
    </row>
    <row r="36" spans="1:14" x14ac:dyDescent="0.25">
      <c r="A36" s="4">
        <f>B31</f>
        <v>154</v>
      </c>
      <c r="B36" s="6">
        <f>D31</f>
        <v>34</v>
      </c>
      <c r="D36" t="s">
        <v>283</v>
      </c>
      <c r="H36" t="s">
        <v>256</v>
      </c>
    </row>
    <row r="37" spans="1:14" x14ac:dyDescent="0.25">
      <c r="A37" s="148">
        <f>C31</f>
        <v>663</v>
      </c>
      <c r="B37" s="153">
        <f>E31</f>
        <v>224</v>
      </c>
    </row>
    <row r="38" spans="1:14" ht="15.75" thickBot="1" x14ac:dyDescent="0.3">
      <c r="D38" s="529">
        <f t="array" ref="D38:E39">MMULT(F38:F39,D40:E40)/F40</f>
        <v>142.88</v>
      </c>
      <c r="E38" s="531">
        <v>45.12</v>
      </c>
      <c r="F38">
        <f>SUM(A36:B36)</f>
        <v>188</v>
      </c>
      <c r="H38" t="s">
        <v>176</v>
      </c>
      <c r="J38" t="s">
        <v>114</v>
      </c>
      <c r="K38">
        <v>0.05</v>
      </c>
    </row>
    <row r="39" spans="1:14" ht="15.75" thickTop="1" x14ac:dyDescent="0.25">
      <c r="D39" s="273">
        <v>674.12</v>
      </c>
      <c r="E39" s="275">
        <v>212.88</v>
      </c>
      <c r="F39">
        <f>SUM(A37:B37)</f>
        <v>887</v>
      </c>
      <c r="H39" s="291" t="s">
        <v>87</v>
      </c>
      <c r="I39" s="291" t="s">
        <v>312</v>
      </c>
      <c r="J39" s="291" t="s">
        <v>313</v>
      </c>
      <c r="K39" s="291" t="s">
        <v>168</v>
      </c>
    </row>
    <row r="40" spans="1:14" x14ac:dyDescent="0.25">
      <c r="D40">
        <f>SUM(A36:A37)</f>
        <v>817</v>
      </c>
      <c r="E40">
        <f>SUM(B36:B37)</f>
        <v>258</v>
      </c>
      <c r="F40">
        <f>SUM(F38:F39)</f>
        <v>1075</v>
      </c>
      <c r="H40">
        <f>F40</f>
        <v>1075</v>
      </c>
      <c r="I40">
        <f>COUNT(A36:A37)</f>
        <v>2</v>
      </c>
      <c r="J40">
        <f>COUNT(A36:B36)</f>
        <v>2</v>
      </c>
      <c r="K40">
        <f>(I40-1)*(J40-1)</f>
        <v>1</v>
      </c>
    </row>
    <row r="42" spans="1:14" ht="15.75" thickBot="1" x14ac:dyDescent="0.3">
      <c r="H42" t="s">
        <v>314</v>
      </c>
    </row>
    <row r="43" spans="1:14" ht="15.75" thickTop="1" x14ac:dyDescent="0.25">
      <c r="H43" s="291" t="s">
        <v>181</v>
      </c>
      <c r="I43" s="291" t="s">
        <v>264</v>
      </c>
      <c r="J43" s="291" t="s">
        <v>182</v>
      </c>
      <c r="K43" s="291" t="s">
        <v>276</v>
      </c>
      <c r="L43" s="291" t="s">
        <v>381</v>
      </c>
      <c r="M43" s="291" t="s">
        <v>316</v>
      </c>
      <c r="N43" s="291" t="s">
        <v>311</v>
      </c>
    </row>
    <row r="44" spans="1:14" x14ac:dyDescent="0.25">
      <c r="H44" t="s">
        <v>315</v>
      </c>
      <c r="I44" t="e">
        <f ca="1">CHI_STAT2(A36:B37,D38:E39)</f>
        <v>#NAME?</v>
      </c>
      <c r="J44" t="e">
        <f ca="1">CHIDIST(I44,K40)</f>
        <v>#NAME?</v>
      </c>
      <c r="K44">
        <f>CHIINV(K38,K40)</f>
        <v>3.8414588206941236</v>
      </c>
      <c r="L44" s="563" t="e">
        <f ca="1">IF(K44&lt;I44,"yes","no")</f>
        <v>#NAME?</v>
      </c>
      <c r="M44" t="e">
        <f ca="1">SQRT(I44/(H40*(MIN(I40,J40)-1)))</f>
        <v>#NAME?</v>
      </c>
      <c r="N44">
        <f>(A36/B36)/(A37/B37)</f>
        <v>1.5302989974270251</v>
      </c>
    </row>
    <row r="45" spans="1:14" x14ac:dyDescent="0.25">
      <c r="H45" t="s">
        <v>317</v>
      </c>
      <c r="I45" t="e">
        <f ca="1">CHI_MAX2(A36:B37,D38:E39)</f>
        <v>#NAME?</v>
      </c>
      <c r="J45" t="e">
        <f ca="1">CHIDIST(I45,K40)</f>
        <v>#NAME?</v>
      </c>
      <c r="K45">
        <f>CHIINV(K38,K40)</f>
        <v>3.8414588206941236</v>
      </c>
      <c r="L45" s="563" t="e">
        <f ca="1">IF(K45&lt;I45,"yes","no")</f>
        <v>#NAME?</v>
      </c>
      <c r="M45" t="e">
        <f ca="1">SQRT(I45/(H40*(MIN(I40,J40)-1)))</f>
        <v>#NAME?</v>
      </c>
      <c r="N45">
        <f>N44</f>
        <v>1.5302989974270251</v>
      </c>
    </row>
    <row r="46" spans="1:14" x14ac:dyDescent="0.25">
      <c r="H46" s="314"/>
      <c r="I46" s="314"/>
      <c r="J46" s="314"/>
      <c r="K46" s="314"/>
      <c r="L46" s="314"/>
      <c r="M46" s="314"/>
      <c r="N46" s="31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1"/>
  <dimension ref="A1:M14"/>
  <sheetViews>
    <sheetView workbookViewId="0"/>
  </sheetViews>
  <sheetFormatPr defaultRowHeight="15" x14ac:dyDescent="0.25"/>
  <cols>
    <col min="4" max="4" width="6" customWidth="1"/>
    <col min="13" max="13" width="5" customWidth="1"/>
  </cols>
  <sheetData>
    <row r="1" spans="1:13" x14ac:dyDescent="0.25">
      <c r="A1" s="1" t="s">
        <v>726</v>
      </c>
      <c r="F1" s="22" t="s">
        <v>729</v>
      </c>
      <c r="J1" s="22" t="s">
        <v>730</v>
      </c>
    </row>
    <row r="3" spans="1:13" x14ac:dyDescent="0.25">
      <c r="A3" s="268" t="s">
        <v>306</v>
      </c>
      <c r="B3" s="5" t="s">
        <v>708</v>
      </c>
      <c r="C3" s="5" t="s">
        <v>711</v>
      </c>
      <c r="D3" s="270">
        <v>45</v>
      </c>
      <c r="F3" s="268" t="e">
        <f t="array" aca="1" ref="F3:H14" ca="1">SelectCols(A3:D14,"2,3,1")</f>
        <v>#NAME?</v>
      </c>
      <c r="G3" s="5" t="e">
        <f ca="1"/>
        <v>#NAME?</v>
      </c>
      <c r="H3" s="270" t="e">
        <f ca="1"/>
        <v>#NAME?</v>
      </c>
      <c r="J3" s="268" t="e">
        <f t="array" aca="1" ref="J3:M14" ca="1">SelectCols(A3:D14,"3,2,1,4",1)</f>
        <v>#NAME?</v>
      </c>
      <c r="K3" s="5" t="e">
        <f ca="1"/>
        <v>#NAME?</v>
      </c>
      <c r="L3" s="5" t="e">
        <f ca="1"/>
        <v>#NAME?</v>
      </c>
      <c r="M3" s="270" t="e">
        <f ca="1"/>
        <v>#NAME?</v>
      </c>
    </row>
    <row r="4" spans="1:13" x14ac:dyDescent="0.25">
      <c r="A4" s="166" t="s">
        <v>267</v>
      </c>
      <c r="B4" s="8" t="s">
        <v>709</v>
      </c>
      <c r="C4" s="8" t="s">
        <v>296</v>
      </c>
      <c r="D4" s="167">
        <v>35</v>
      </c>
      <c r="F4" s="166" t="e">
        <f ca="1"/>
        <v>#NAME?</v>
      </c>
      <c r="G4" s="8" t="e">
        <f ca="1"/>
        <v>#NAME?</v>
      </c>
      <c r="H4" s="167" t="e">
        <f ca="1"/>
        <v>#NAME?</v>
      </c>
      <c r="J4" s="166" t="e">
        <f ca="1"/>
        <v>#NAME?</v>
      </c>
      <c r="K4" s="8" t="e">
        <f ca="1"/>
        <v>#NAME?</v>
      </c>
      <c r="L4" s="8" t="e">
        <f ca="1"/>
        <v>#NAME?</v>
      </c>
      <c r="M4" s="167" t="e">
        <f ca="1"/>
        <v>#NAME?</v>
      </c>
    </row>
    <row r="5" spans="1:13" x14ac:dyDescent="0.25">
      <c r="A5" s="166" t="s">
        <v>306</v>
      </c>
      <c r="B5" s="8" t="s">
        <v>710</v>
      </c>
      <c r="C5" s="8" t="s">
        <v>711</v>
      </c>
      <c r="D5" s="167">
        <v>15</v>
      </c>
      <c r="F5" s="166" t="e">
        <f ca="1"/>
        <v>#NAME?</v>
      </c>
      <c r="G5" s="8" t="e">
        <f ca="1"/>
        <v>#NAME?</v>
      </c>
      <c r="H5" s="167" t="e">
        <f ca="1"/>
        <v>#NAME?</v>
      </c>
      <c r="J5" s="166" t="e">
        <f ca="1"/>
        <v>#NAME?</v>
      </c>
      <c r="K5" s="8" t="e">
        <f ca="1"/>
        <v>#NAME?</v>
      </c>
      <c r="L5" s="8" t="e">
        <f ca="1"/>
        <v>#NAME?</v>
      </c>
      <c r="M5" s="167" t="e">
        <f ca="1"/>
        <v>#NAME?</v>
      </c>
    </row>
    <row r="6" spans="1:13" x14ac:dyDescent="0.25">
      <c r="A6" s="166" t="s">
        <v>306</v>
      </c>
      <c r="B6" s="8" t="s">
        <v>710</v>
      </c>
      <c r="C6" s="8" t="s">
        <v>711</v>
      </c>
      <c r="D6" s="167">
        <v>40</v>
      </c>
      <c r="F6" s="166" t="e">
        <f ca="1"/>
        <v>#NAME?</v>
      </c>
      <c r="G6" s="8" t="e">
        <f ca="1"/>
        <v>#NAME?</v>
      </c>
      <c r="H6" s="167" t="e">
        <f ca="1"/>
        <v>#NAME?</v>
      </c>
      <c r="J6" s="166" t="e">
        <f ca="1"/>
        <v>#NAME?</v>
      </c>
      <c r="K6" s="8" t="e">
        <f ca="1"/>
        <v>#NAME?</v>
      </c>
      <c r="L6" s="8" t="e">
        <f ca="1"/>
        <v>#NAME?</v>
      </c>
      <c r="M6" s="167" t="e">
        <f ca="1"/>
        <v>#NAME?</v>
      </c>
    </row>
    <row r="7" spans="1:13" x14ac:dyDescent="0.25">
      <c r="A7" s="166" t="s">
        <v>267</v>
      </c>
      <c r="B7" s="8" t="s">
        <v>709</v>
      </c>
      <c r="C7" s="8" t="s">
        <v>711</v>
      </c>
      <c r="D7" s="167">
        <v>25</v>
      </c>
      <c r="F7" s="166" t="e">
        <f ca="1"/>
        <v>#NAME?</v>
      </c>
      <c r="G7" s="8" t="e">
        <f ca="1"/>
        <v>#NAME?</v>
      </c>
      <c r="H7" s="167" t="e">
        <f ca="1"/>
        <v>#NAME?</v>
      </c>
      <c r="J7" s="166" t="e">
        <f ca="1"/>
        <v>#NAME?</v>
      </c>
      <c r="K7" s="8" t="e">
        <f ca="1"/>
        <v>#NAME?</v>
      </c>
      <c r="L7" s="8" t="e">
        <f ca="1"/>
        <v>#NAME?</v>
      </c>
      <c r="M7" s="167" t="e">
        <f ca="1"/>
        <v>#NAME?</v>
      </c>
    </row>
    <row r="8" spans="1:13" x14ac:dyDescent="0.25">
      <c r="A8" s="166" t="s">
        <v>306</v>
      </c>
      <c r="B8" s="8" t="s">
        <v>710</v>
      </c>
      <c r="C8" s="8" t="s">
        <v>296</v>
      </c>
      <c r="D8" s="167">
        <v>20</v>
      </c>
      <c r="F8" s="166" t="e">
        <f ca="1"/>
        <v>#NAME?</v>
      </c>
      <c r="G8" s="8" t="e">
        <f ca="1"/>
        <v>#NAME?</v>
      </c>
      <c r="H8" s="167" t="e">
        <f ca="1"/>
        <v>#NAME?</v>
      </c>
      <c r="J8" s="166" t="e">
        <f ca="1"/>
        <v>#NAME?</v>
      </c>
      <c r="K8" s="8" t="e">
        <f ca="1"/>
        <v>#NAME?</v>
      </c>
      <c r="L8" s="8" t="e">
        <f ca="1"/>
        <v>#NAME?</v>
      </c>
      <c r="M8" s="167" t="e">
        <f ca="1"/>
        <v>#NAME?</v>
      </c>
    </row>
    <row r="9" spans="1:13" x14ac:dyDescent="0.25">
      <c r="A9" s="166" t="s">
        <v>267</v>
      </c>
      <c r="B9" s="8" t="s">
        <v>708</v>
      </c>
      <c r="C9" s="8" t="s">
        <v>711</v>
      </c>
      <c r="D9" s="167">
        <v>10</v>
      </c>
      <c r="F9" s="166" t="e">
        <f ca="1"/>
        <v>#NAME?</v>
      </c>
      <c r="G9" s="8" t="e">
        <f ca="1"/>
        <v>#NAME?</v>
      </c>
      <c r="H9" s="167" t="e">
        <f ca="1"/>
        <v>#NAME?</v>
      </c>
      <c r="J9" s="166" t="e">
        <f ca="1"/>
        <v>#NAME?</v>
      </c>
      <c r="K9" s="8" t="e">
        <f ca="1"/>
        <v>#NAME?</v>
      </c>
      <c r="L9" s="8" t="e">
        <f ca="1"/>
        <v>#NAME?</v>
      </c>
      <c r="M9" s="167" t="e">
        <f ca="1"/>
        <v>#NAME?</v>
      </c>
    </row>
    <row r="10" spans="1:13" x14ac:dyDescent="0.25">
      <c r="A10" s="166" t="s">
        <v>267</v>
      </c>
      <c r="B10" s="8" t="s">
        <v>709</v>
      </c>
      <c r="C10" s="8" t="s">
        <v>711</v>
      </c>
      <c r="D10" s="167">
        <v>50</v>
      </c>
      <c r="F10" s="166" t="e">
        <f ca="1"/>
        <v>#NAME?</v>
      </c>
      <c r="G10" s="8" t="e">
        <f ca="1"/>
        <v>#NAME?</v>
      </c>
      <c r="H10" s="167" t="e">
        <f ca="1"/>
        <v>#NAME?</v>
      </c>
      <c r="J10" s="166" t="e">
        <f ca="1"/>
        <v>#NAME?</v>
      </c>
      <c r="K10" s="8" t="e">
        <f ca="1"/>
        <v>#NAME?</v>
      </c>
      <c r="L10" s="8" t="e">
        <f ca="1"/>
        <v>#NAME?</v>
      </c>
      <c r="M10" s="167" t="e">
        <f ca="1"/>
        <v>#NAME?</v>
      </c>
    </row>
    <row r="11" spans="1:13" x14ac:dyDescent="0.25">
      <c r="A11" s="166" t="s">
        <v>267</v>
      </c>
      <c r="B11" s="8" t="s">
        <v>709</v>
      </c>
      <c r="C11" s="8" t="s">
        <v>296</v>
      </c>
      <c r="D11" s="167">
        <v>35</v>
      </c>
      <c r="F11" s="166" t="e">
        <f ca="1"/>
        <v>#NAME?</v>
      </c>
      <c r="G11" s="8" t="e">
        <f ca="1"/>
        <v>#NAME?</v>
      </c>
      <c r="H11" s="167" t="e">
        <f ca="1"/>
        <v>#NAME?</v>
      </c>
      <c r="J11" s="166" t="e">
        <f ca="1"/>
        <v>#NAME?</v>
      </c>
      <c r="K11" s="8" t="e">
        <f ca="1"/>
        <v>#NAME?</v>
      </c>
      <c r="L11" s="8" t="e">
        <f ca="1"/>
        <v>#NAME?</v>
      </c>
      <c r="M11" s="167" t="e">
        <f ca="1"/>
        <v>#NAME?</v>
      </c>
    </row>
    <row r="12" spans="1:13" x14ac:dyDescent="0.25">
      <c r="A12" s="166" t="s">
        <v>306</v>
      </c>
      <c r="B12" s="8" t="s">
        <v>708</v>
      </c>
      <c r="C12" s="8" t="s">
        <v>296</v>
      </c>
      <c r="D12" s="167">
        <v>45</v>
      </c>
      <c r="F12" s="166" t="e">
        <f ca="1"/>
        <v>#NAME?</v>
      </c>
      <c r="G12" s="8" t="e">
        <f ca="1"/>
        <v>#NAME?</v>
      </c>
      <c r="H12" s="167" t="e">
        <f ca="1"/>
        <v>#NAME?</v>
      </c>
      <c r="J12" s="166" t="e">
        <f ca="1"/>
        <v>#NAME?</v>
      </c>
      <c r="K12" s="8" t="e">
        <f ca="1"/>
        <v>#NAME?</v>
      </c>
      <c r="L12" s="8" t="e">
        <f ca="1"/>
        <v>#NAME?</v>
      </c>
      <c r="M12" s="167" t="e">
        <f ca="1"/>
        <v>#NAME?</v>
      </c>
    </row>
    <row r="13" spans="1:13" x14ac:dyDescent="0.25">
      <c r="A13" s="166" t="s">
        <v>267</v>
      </c>
      <c r="B13" s="8" t="s">
        <v>710</v>
      </c>
      <c r="C13" s="8" t="s">
        <v>296</v>
      </c>
      <c r="D13" s="167">
        <v>20</v>
      </c>
      <c r="F13" s="166" t="e">
        <f ca="1"/>
        <v>#NAME?</v>
      </c>
      <c r="G13" s="8" t="e">
        <f ca="1"/>
        <v>#NAME?</v>
      </c>
      <c r="H13" s="167" t="e">
        <f ca="1"/>
        <v>#NAME?</v>
      </c>
      <c r="J13" s="166" t="e">
        <f ca="1"/>
        <v>#NAME?</v>
      </c>
      <c r="K13" s="8" t="e">
        <f ca="1"/>
        <v>#NAME?</v>
      </c>
      <c r="L13" s="8" t="e">
        <f ca="1"/>
        <v>#NAME?</v>
      </c>
      <c r="M13" s="167" t="e">
        <f ca="1"/>
        <v>#NAME?</v>
      </c>
    </row>
    <row r="14" spans="1:13" x14ac:dyDescent="0.25">
      <c r="A14" s="148" t="s">
        <v>267</v>
      </c>
      <c r="B14" s="276" t="s">
        <v>709</v>
      </c>
      <c r="C14" s="276" t="s">
        <v>711</v>
      </c>
      <c r="D14" s="153">
        <v>40</v>
      </c>
      <c r="F14" s="148" t="e">
        <f ca="1"/>
        <v>#NAME?</v>
      </c>
      <c r="G14" s="276" t="e">
        <f ca="1"/>
        <v>#NAME?</v>
      </c>
      <c r="H14" s="153" t="e">
        <f ca="1"/>
        <v>#NAME?</v>
      </c>
      <c r="J14" s="148" t="e">
        <f ca="1"/>
        <v>#NAME?</v>
      </c>
      <c r="K14" s="276" t="e">
        <f ca="1"/>
        <v>#NAME?</v>
      </c>
      <c r="L14" s="276" t="e">
        <f ca="1"/>
        <v>#NAME?</v>
      </c>
      <c r="M14" s="153" t="e">
        <f ca="1"/>
        <v>#NAME?</v>
      </c>
    </row>
  </sheetData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O11"/>
  <sheetViews>
    <sheetView workbookViewId="0"/>
  </sheetViews>
  <sheetFormatPr defaultRowHeight="15" x14ac:dyDescent="0.25"/>
  <cols>
    <col min="1" max="6" width="5.85546875" customWidth="1"/>
    <col min="10" max="10" width="4.42578125" customWidth="1"/>
    <col min="11" max="11" width="9.5703125" customWidth="1"/>
    <col min="13" max="13" width="4.42578125" customWidth="1"/>
  </cols>
  <sheetData>
    <row r="1" spans="1:15" x14ac:dyDescent="0.25">
      <c r="A1" s="1" t="s">
        <v>1581</v>
      </c>
      <c r="H1" t="s">
        <v>1571</v>
      </c>
    </row>
    <row r="3" spans="1:15" x14ac:dyDescent="0.25">
      <c r="B3" s="563" t="s">
        <v>136</v>
      </c>
      <c r="C3" s="563" t="s">
        <v>137</v>
      </c>
      <c r="D3" s="563" t="s">
        <v>138</v>
      </c>
      <c r="E3" s="563" t="s">
        <v>139</v>
      </c>
      <c r="F3" s="563" t="s">
        <v>105</v>
      </c>
      <c r="H3" t="s">
        <v>1605</v>
      </c>
      <c r="K3" t="s">
        <v>1581</v>
      </c>
      <c r="N3" t="s">
        <v>1606</v>
      </c>
    </row>
    <row r="4" spans="1:15" x14ac:dyDescent="0.25">
      <c r="A4" s="563" t="s">
        <v>1588</v>
      </c>
      <c r="B4" s="415">
        <v>43</v>
      </c>
      <c r="C4" s="567">
        <v>205</v>
      </c>
      <c r="D4" s="567">
        <v>7</v>
      </c>
      <c r="E4" s="411">
        <v>65</v>
      </c>
      <c r="F4" s="563">
        <f>SUM(B4:E4)</f>
        <v>320</v>
      </c>
    </row>
    <row r="5" spans="1:15" x14ac:dyDescent="0.25">
      <c r="A5" s="563" t="s">
        <v>429</v>
      </c>
      <c r="B5" s="169">
        <v>78</v>
      </c>
      <c r="C5" s="565">
        <v>345</v>
      </c>
      <c r="D5" s="565">
        <v>14</v>
      </c>
      <c r="E5" s="161">
        <v>104</v>
      </c>
      <c r="F5" s="563">
        <f>SUM(B5:E5)</f>
        <v>541</v>
      </c>
      <c r="H5" t="str">
        <f t="array" ref="H5:H7">A4:A6</f>
        <v>L</v>
      </c>
      <c r="I5" s="509">
        <f>B4*E4/(C4*D4)</f>
        <v>1.9477351916376306</v>
      </c>
      <c r="K5" t="e">
        <f t="array" aca="1" ref="K5:L9" ca="1">CMHTEST(B4:E6,TRUE,L11,L10)</f>
        <v>#NAME?</v>
      </c>
      <c r="L5" s="509" t="e">
        <f ca="1"/>
        <v>#NAME?</v>
      </c>
      <c r="N5" t="e">
        <f t="array" aca="1" ref="N5:O7" ca="1">WoolfTest(B4:E6,TRUE)</f>
        <v>#NAME?</v>
      </c>
      <c r="O5" s="509" t="e">
        <f ca="1"/>
        <v>#NAME?</v>
      </c>
    </row>
    <row r="6" spans="1:15" x14ac:dyDescent="0.25">
      <c r="A6" s="563" t="s">
        <v>1404</v>
      </c>
      <c r="B6" s="157">
        <v>33</v>
      </c>
      <c r="C6" s="527">
        <v>113</v>
      </c>
      <c r="D6" s="527">
        <v>13</v>
      </c>
      <c r="E6" s="150">
        <v>55</v>
      </c>
      <c r="F6" s="563">
        <f>SUM(B6:E6)</f>
        <v>214</v>
      </c>
      <c r="H6" t="str">
        <v>M</v>
      </c>
      <c r="I6" s="238">
        <f>B5*E5/(C5*D5)</f>
        <v>1.6795031055900622</v>
      </c>
      <c r="K6" t="e">
        <f ca="1"/>
        <v>#NAME?</v>
      </c>
      <c r="L6" s="238" t="e">
        <f ca="1"/>
        <v>#NAME?</v>
      </c>
      <c r="N6" t="e">
        <f ca="1"/>
        <v>#NAME?</v>
      </c>
      <c r="O6" s="238" t="e">
        <f ca="1"/>
        <v>#NAME?</v>
      </c>
    </row>
    <row r="7" spans="1:15" x14ac:dyDescent="0.25">
      <c r="B7" s="563">
        <f>SUM(B4:B6)</f>
        <v>154</v>
      </c>
      <c r="C7" s="563">
        <f>SUM(C4:C6)</f>
        <v>663</v>
      </c>
      <c r="D7" s="563">
        <f>SUM(D4:D6)</f>
        <v>34</v>
      </c>
      <c r="E7" s="563">
        <f>SUM(E4:E6)</f>
        <v>224</v>
      </c>
      <c r="F7" s="563">
        <f>SUM(B7:E7)</f>
        <v>1075</v>
      </c>
      <c r="H7" t="str">
        <v>H</v>
      </c>
      <c r="I7" s="272">
        <f>B6*E6/(C6*D6)</f>
        <v>1.2355343771272975</v>
      </c>
      <c r="K7" t="e">
        <f ca="1"/>
        <v>#NAME?</v>
      </c>
      <c r="L7" s="238" t="e">
        <f ca="1"/>
        <v>#NAME?</v>
      </c>
      <c r="N7" t="e">
        <f ca="1"/>
        <v>#NAME?</v>
      </c>
      <c r="O7" s="272" t="e">
        <f ca="1"/>
        <v>#NAME?</v>
      </c>
    </row>
    <row r="8" spans="1:15" x14ac:dyDescent="0.25">
      <c r="K8" t="e">
        <f ca="1"/>
        <v>#NAME?</v>
      </c>
      <c r="L8" s="238" t="e">
        <f ca="1"/>
        <v>#NAME?</v>
      </c>
    </row>
    <row r="9" spans="1:15" x14ac:dyDescent="0.25">
      <c r="K9" t="e">
        <f ca="1"/>
        <v>#NAME?</v>
      </c>
      <c r="L9" s="238" t="e">
        <f ca="1"/>
        <v>#NAME?</v>
      </c>
    </row>
    <row r="10" spans="1:15" x14ac:dyDescent="0.25">
      <c r="K10" t="s">
        <v>262</v>
      </c>
      <c r="L10" s="238">
        <v>0.05</v>
      </c>
    </row>
    <row r="11" spans="1:15" x14ac:dyDescent="0.25">
      <c r="K11" t="s">
        <v>1607</v>
      </c>
      <c r="L11" s="272" t="b">
        <v>1</v>
      </c>
    </row>
  </sheetData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3"/>
  <dimension ref="A1:K10"/>
  <sheetViews>
    <sheetView workbookViewId="0"/>
  </sheetViews>
  <sheetFormatPr defaultRowHeight="15" x14ac:dyDescent="0.25"/>
  <cols>
    <col min="1" max="1" width="18.7109375" customWidth="1"/>
  </cols>
  <sheetData>
    <row r="1" spans="1:11" x14ac:dyDescent="0.25">
      <c r="A1" s="1" t="s">
        <v>1296</v>
      </c>
    </row>
    <row r="2" spans="1:11" x14ac:dyDescent="0.25">
      <c r="A2" s="1"/>
    </row>
    <row r="4" spans="1:11" x14ac:dyDescent="0.25">
      <c r="A4" t="s">
        <v>28</v>
      </c>
      <c r="B4" s="316">
        <f>I9</f>
        <v>4.3245553203367573</v>
      </c>
      <c r="C4" s="317">
        <f>1/B4</f>
        <v>0.23123764778713227</v>
      </c>
      <c r="D4" s="316">
        <f>B4</f>
        <v>4.3245553203367573</v>
      </c>
      <c r="E4" s="317">
        <f>1/D4</f>
        <v>0.23123764778713227</v>
      </c>
      <c r="G4" s="53" t="s">
        <v>140</v>
      </c>
      <c r="H4" s="316">
        <v>0.05</v>
      </c>
      <c r="I4" s="292">
        <v>0.1</v>
      </c>
      <c r="J4" s="292">
        <v>0.9</v>
      </c>
      <c r="K4" s="317">
        <v>0.95</v>
      </c>
    </row>
    <row r="5" spans="1:11" x14ac:dyDescent="0.25">
      <c r="A5" t="s">
        <v>370</v>
      </c>
      <c r="B5" s="166">
        <v>2</v>
      </c>
      <c r="C5" s="167">
        <v>2</v>
      </c>
      <c r="D5" s="166">
        <v>4</v>
      </c>
      <c r="E5" s="167">
        <v>4</v>
      </c>
      <c r="G5" s="53" t="s">
        <v>370</v>
      </c>
      <c r="H5" s="166">
        <v>2</v>
      </c>
      <c r="I5" s="54">
        <v>2</v>
      </c>
      <c r="J5" s="54">
        <v>2</v>
      </c>
      <c r="K5" s="167">
        <v>2</v>
      </c>
    </row>
    <row r="6" spans="1:11" x14ac:dyDescent="0.25">
      <c r="A6" t="s">
        <v>371</v>
      </c>
      <c r="B6" s="148">
        <v>4</v>
      </c>
      <c r="C6" s="153">
        <v>4</v>
      </c>
      <c r="D6" s="148">
        <v>2</v>
      </c>
      <c r="E6" s="153">
        <v>2</v>
      </c>
      <c r="G6" t="s">
        <v>371</v>
      </c>
      <c r="H6" s="166">
        <v>4</v>
      </c>
      <c r="I6" s="8">
        <v>4</v>
      </c>
      <c r="J6" s="8">
        <v>4</v>
      </c>
      <c r="K6" s="167">
        <v>4</v>
      </c>
    </row>
    <row r="7" spans="1:11" x14ac:dyDescent="0.25">
      <c r="A7" t="s">
        <v>1289</v>
      </c>
      <c r="B7" s="316">
        <f>_xlfn.F.DIST(B4,B5,B6,FALSE)</f>
        <v>3.1622776601683819E-2</v>
      </c>
      <c r="C7" s="292">
        <f>_xlfn.F.DIST(C4,C5,C6,FALSE)</f>
        <v>0.72019897578488745</v>
      </c>
      <c r="D7" s="316">
        <f>_xlfn.F.DIST(D4,D5,D6,FALSE)</f>
        <v>3.8509651227269029E-2</v>
      </c>
      <c r="E7" s="317">
        <f>_xlfn.F.DIST(E4,E5,E6,FALSE)</f>
        <v>0.59140217047408705</v>
      </c>
      <c r="G7" t="s">
        <v>1293</v>
      </c>
      <c r="H7" s="166">
        <f>_xlfn.F.INV(H4,H5,H6)</f>
        <v>5.1956704170308177E-2</v>
      </c>
      <c r="I7" s="8">
        <f>_xlfn.F.INV(I4,I5,I6)</f>
        <v>0.10818510677891953</v>
      </c>
      <c r="J7" s="8">
        <f>_xlfn.F.INV(J4,J5,J6)</f>
        <v>4.324555320336759</v>
      </c>
      <c r="K7" s="167">
        <f>_xlfn.F.INV(K4,K5,K6)</f>
        <v>6.944271909999153</v>
      </c>
    </row>
    <row r="8" spans="1:11" x14ac:dyDescent="0.25">
      <c r="A8" t="s">
        <v>1290</v>
      </c>
      <c r="B8" s="166">
        <f>_xlfn.F.DIST(B4,B5,B6,TRUE)</f>
        <v>0.89999999999999991</v>
      </c>
      <c r="C8" s="8">
        <f>_xlfn.F.DIST(C4,C5,C6,TRUE)</f>
        <v>0.19653246566551297</v>
      </c>
      <c r="D8" s="166">
        <f>_xlfn.F.DIST(D4,D5,D6,TRUE)</f>
        <v>0.80346753433448703</v>
      </c>
      <c r="E8" s="167">
        <f>_xlfn.F.DIST(E4,E5,E6,TRUE)</f>
        <v>0.10000000000000002</v>
      </c>
      <c r="G8" t="s">
        <v>1294</v>
      </c>
      <c r="H8" s="166">
        <f>_xlfn.F.INV.RT(H4,H5,H6)</f>
        <v>6.9442719099991574</v>
      </c>
      <c r="I8" s="8">
        <f>_xlfn.F.INV.RT(I4,I5,I6)</f>
        <v>4.3245553203367573</v>
      </c>
      <c r="J8" s="8">
        <f>_xlfn.F.INV.RT(J4,J5,J6)</f>
        <v>0.10818510677891953</v>
      </c>
      <c r="K8" s="167">
        <f>_xlfn.F.INV.RT(K4,K5,K6)</f>
        <v>5.1956704170308225E-2</v>
      </c>
    </row>
    <row r="9" spans="1:11" x14ac:dyDescent="0.25">
      <c r="A9" t="s">
        <v>1291</v>
      </c>
      <c r="B9" s="166">
        <f>_xlfn.F.DIST.RT(B4,B5,B6)</f>
        <v>0.10000000000000002</v>
      </c>
      <c r="C9" s="8">
        <f>_xlfn.F.DIST.RT(C4,C5,C6)</f>
        <v>0.80346753433448703</v>
      </c>
      <c r="D9" s="166">
        <f>_xlfn.F.DIST.RT(D4,D5,D6)</f>
        <v>0.19653246566551297</v>
      </c>
      <c r="E9" s="167">
        <f>_xlfn.F.DIST.RT(E4,E5,E6)</f>
        <v>0.89999999999999991</v>
      </c>
      <c r="G9" t="s">
        <v>1295</v>
      </c>
      <c r="H9" s="148">
        <f>FINV(H4,H5,H6)</f>
        <v>6.9442719099991574</v>
      </c>
      <c r="I9" s="276">
        <f>FINV(I4,I5,I6)</f>
        <v>4.3245553203367573</v>
      </c>
      <c r="J9" s="276">
        <f>FINV(J4,J5,J6)</f>
        <v>0.10818510677891953</v>
      </c>
      <c r="K9" s="153">
        <f>FINV(K4,K5,K6)</f>
        <v>5.1956704170308225E-2</v>
      </c>
    </row>
    <row r="10" spans="1:11" x14ac:dyDescent="0.25">
      <c r="A10" t="s">
        <v>1292</v>
      </c>
      <c r="B10" s="148">
        <f>FDIST(B4,B5,B6)</f>
        <v>0.10000000000000002</v>
      </c>
      <c r="C10" s="276">
        <f>FDIST(C4,C5,C6)</f>
        <v>0.80346753433448703</v>
      </c>
      <c r="D10" s="148">
        <f>FDIST(D4,D5,D6)</f>
        <v>0.19653246566551297</v>
      </c>
      <c r="E10" s="153">
        <f>FDIST(E4,E5,E6)</f>
        <v>0.89999999999999991</v>
      </c>
    </row>
  </sheetData>
  <pageMargins left="0.7" right="0.7" top="0.75" bottom="0.75" header="0.3" footer="0.3"/>
  <ignoredErrors>
    <ignoredError sqref="D4" formula="1"/>
  </ignoredErrors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0"/>
  <dimension ref="A1:K31"/>
  <sheetViews>
    <sheetView zoomScaleNormal="100" workbookViewId="0"/>
  </sheetViews>
  <sheetFormatPr defaultRowHeight="15" x14ac:dyDescent="0.25"/>
  <cols>
    <col min="3" max="3" width="4.7109375" customWidth="1"/>
    <col min="4" max="4" width="19.140625" customWidth="1"/>
    <col min="5" max="6" width="10.7109375" customWidth="1"/>
    <col min="7" max="7" width="3.140625" customWidth="1"/>
    <col min="8" max="8" width="23.140625" customWidth="1"/>
    <col min="9" max="9" width="2.7109375" customWidth="1"/>
  </cols>
  <sheetData>
    <row r="1" spans="1:11" x14ac:dyDescent="0.25">
      <c r="A1" s="1" t="s">
        <v>373</v>
      </c>
    </row>
    <row r="3" spans="1:11" x14ac:dyDescent="0.25">
      <c r="A3" s="122" t="s">
        <v>134</v>
      </c>
      <c r="B3" s="122" t="s">
        <v>135</v>
      </c>
      <c r="D3" t="s">
        <v>378</v>
      </c>
      <c r="J3" t="s">
        <v>812</v>
      </c>
      <c r="K3" s="205">
        <f>FTEST(A4:A18,B4:B18)</f>
        <v>0.27866115843593686</v>
      </c>
    </row>
    <row r="4" spans="1:11" ht="15.75" thickBot="1" x14ac:dyDescent="0.3">
      <c r="A4" s="118">
        <v>4.7</v>
      </c>
      <c r="B4" s="118">
        <v>3.7</v>
      </c>
    </row>
    <row r="5" spans="1:11" x14ac:dyDescent="0.25">
      <c r="A5" s="118">
        <v>3.7</v>
      </c>
      <c r="B5" s="118">
        <v>4.0999999999999996</v>
      </c>
      <c r="D5" s="26"/>
      <c r="E5" s="26" t="s">
        <v>134</v>
      </c>
      <c r="F5" s="26" t="s">
        <v>135</v>
      </c>
      <c r="H5" s="120" t="s">
        <v>1487</v>
      </c>
      <c r="J5" t="s">
        <v>1160</v>
      </c>
      <c r="K5" s="205">
        <f>_xlfn.F.TEST(A4:A18,B4:B18)</f>
        <v>0.27866115843593686</v>
      </c>
    </row>
    <row r="6" spans="1:11" x14ac:dyDescent="0.25">
      <c r="A6" s="118">
        <v>3.2</v>
      </c>
      <c r="B6" s="118">
        <v>3.5</v>
      </c>
      <c r="D6" s="27" t="s">
        <v>75</v>
      </c>
      <c r="E6" s="123">
        <f>AVERAGE(A4:A18)</f>
        <v>4.0666666666666664</v>
      </c>
      <c r="F6" s="123">
        <f>AVERAGE(B4:B18)</f>
        <v>4.379999999999999</v>
      </c>
      <c r="H6" s="125" t="e">
        <f ca="1">FTEXT(E6)</f>
        <v>#NAME?</v>
      </c>
    </row>
    <row r="7" spans="1:11" x14ac:dyDescent="0.25">
      <c r="A7" s="118">
        <v>3.1</v>
      </c>
      <c r="B7" s="118">
        <v>5.5</v>
      </c>
      <c r="D7" s="27" t="s">
        <v>204</v>
      </c>
      <c r="E7" s="27">
        <f>VAR(A4:A18)</f>
        <v>0.78424242424242674</v>
      </c>
      <c r="F7" s="27">
        <f>VAR(B4:B18)</f>
        <v>0.42457142857143787</v>
      </c>
      <c r="H7" s="125" t="s">
        <v>1488</v>
      </c>
    </row>
    <row r="8" spans="1:11" x14ac:dyDescent="0.25">
      <c r="A8" s="118">
        <v>3.9</v>
      </c>
      <c r="B8" s="118">
        <v>4.0999999999999996</v>
      </c>
      <c r="D8" s="27" t="s">
        <v>205</v>
      </c>
      <c r="E8" s="27">
        <f>COUNT(A4:A18)</f>
        <v>12</v>
      </c>
      <c r="F8" s="27">
        <f>COUNT(B4:B18)</f>
        <v>15</v>
      </c>
      <c r="H8" s="125" t="e">
        <f ca="1">FTEXT(E8)</f>
        <v>#NAME?</v>
      </c>
    </row>
    <row r="9" spans="1:11" x14ac:dyDescent="0.25">
      <c r="A9" s="118">
        <v>4.8</v>
      </c>
      <c r="B9" s="118">
        <v>4.7</v>
      </c>
      <c r="D9" s="27" t="s">
        <v>168</v>
      </c>
      <c r="E9" s="27">
        <f>E8-1</f>
        <v>11</v>
      </c>
      <c r="F9" s="27">
        <f>F8-1</f>
        <v>14</v>
      </c>
      <c r="H9" s="125" t="e">
        <f ca="1">FTEXT(E9)</f>
        <v>#NAME?</v>
      </c>
    </row>
    <row r="10" spans="1:11" x14ac:dyDescent="0.25">
      <c r="A10" s="118">
        <v>3.1</v>
      </c>
      <c r="B10" s="118">
        <v>4.9000000000000004</v>
      </c>
      <c r="D10" s="27" t="s">
        <v>310</v>
      </c>
      <c r="E10" s="27">
        <f>E7/F7</f>
        <v>1.8471389534646254</v>
      </c>
      <c r="F10" s="27"/>
      <c r="H10" s="125" t="e">
        <f ca="1">FTEXT(E10)</f>
        <v>#NAME?</v>
      </c>
    </row>
    <row r="11" spans="1:11" x14ac:dyDescent="0.25">
      <c r="A11" s="118">
        <v>5.0999999999999996</v>
      </c>
      <c r="B11" s="118">
        <v>3.5</v>
      </c>
      <c r="D11" s="27" t="s">
        <v>262</v>
      </c>
      <c r="E11">
        <v>0.05</v>
      </c>
    </row>
    <row r="12" spans="1:11" x14ac:dyDescent="0.25">
      <c r="A12" s="118">
        <v>4.9000000000000004</v>
      </c>
      <c r="B12" s="118">
        <v>3.9</v>
      </c>
      <c r="D12" s="27" t="s">
        <v>182</v>
      </c>
      <c r="E12" s="27">
        <f>2*FDIST(E10,E9,F9)</f>
        <v>0.27866115843595135</v>
      </c>
      <c r="F12" s="27"/>
      <c r="H12" s="22" t="s">
        <v>1159</v>
      </c>
    </row>
    <row r="13" spans="1:11" x14ac:dyDescent="0.25">
      <c r="A13" s="118">
        <v>5.3</v>
      </c>
      <c r="B13" s="118">
        <v>3.7</v>
      </c>
      <c r="D13" s="27" t="s">
        <v>364</v>
      </c>
      <c r="E13">
        <f>FINV(E11/2,E9,F9)</f>
        <v>3.0945897908988029</v>
      </c>
      <c r="H13" s="22" t="s">
        <v>1158</v>
      </c>
    </row>
    <row r="14" spans="1:11" ht="15.75" thickBot="1" x14ac:dyDescent="0.3">
      <c r="A14" s="118">
        <v>2.8</v>
      </c>
      <c r="B14" s="118">
        <v>4.8</v>
      </c>
      <c r="D14" s="30" t="s">
        <v>381</v>
      </c>
      <c r="E14" s="124" t="str">
        <f>IF(E12&lt;E11,"yes","no")</f>
        <v>no</v>
      </c>
      <c r="F14" s="30"/>
      <c r="H14" s="125" t="e">
        <f ca="1">FTEXT(E14)</f>
        <v>#NAME?</v>
      </c>
    </row>
    <row r="15" spans="1:11" x14ac:dyDescent="0.25">
      <c r="A15" s="118">
        <v>4.2</v>
      </c>
      <c r="B15" s="118">
        <v>5</v>
      </c>
    </row>
    <row r="16" spans="1:11" x14ac:dyDescent="0.25">
      <c r="A16" s="118"/>
      <c r="B16" s="118">
        <v>5.3</v>
      </c>
    </row>
    <row r="17" spans="1:6" x14ac:dyDescent="0.25">
      <c r="A17" s="118"/>
      <c r="B17" s="118">
        <v>4.4000000000000004</v>
      </c>
    </row>
    <row r="18" spans="1:6" x14ac:dyDescent="0.25">
      <c r="A18" s="119"/>
      <c r="B18" s="119">
        <v>4.5999999999999996</v>
      </c>
    </row>
    <row r="20" spans="1:6" x14ac:dyDescent="0.25">
      <c r="D20" s="1" t="s">
        <v>377</v>
      </c>
    </row>
    <row r="22" spans="1:6" x14ac:dyDescent="0.25">
      <c r="D22" t="s">
        <v>374</v>
      </c>
    </row>
    <row r="23" spans="1:6" ht="15.75" thickBot="1" x14ac:dyDescent="0.3"/>
    <row r="24" spans="1:6" x14ac:dyDescent="0.25">
      <c r="D24" s="26"/>
      <c r="E24" s="26" t="s">
        <v>134</v>
      </c>
      <c r="F24" s="26" t="s">
        <v>135</v>
      </c>
    </row>
    <row r="25" spans="1:6" x14ac:dyDescent="0.25">
      <c r="D25" s="27" t="s">
        <v>75</v>
      </c>
      <c r="E25" s="27">
        <v>4.0666666666666664</v>
      </c>
      <c r="F25" s="27">
        <v>4.379999999999999</v>
      </c>
    </row>
    <row r="26" spans="1:6" x14ac:dyDescent="0.25">
      <c r="D26" s="27" t="s">
        <v>204</v>
      </c>
      <c r="E26" s="27">
        <v>0.78424242424242674</v>
      </c>
      <c r="F26" s="27">
        <v>0.42457142857143787</v>
      </c>
    </row>
    <row r="27" spans="1:6" x14ac:dyDescent="0.25">
      <c r="D27" s="27" t="s">
        <v>205</v>
      </c>
      <c r="E27" s="27">
        <v>12</v>
      </c>
      <c r="F27" s="27">
        <v>15</v>
      </c>
    </row>
    <row r="28" spans="1:6" x14ac:dyDescent="0.25">
      <c r="D28" s="27" t="s">
        <v>168</v>
      </c>
      <c r="E28" s="27">
        <v>11</v>
      </c>
      <c r="F28" s="27">
        <v>14</v>
      </c>
    </row>
    <row r="29" spans="1:6" x14ac:dyDescent="0.25">
      <c r="D29" s="27" t="s">
        <v>310</v>
      </c>
      <c r="E29" s="27">
        <v>1.8471389534646254</v>
      </c>
      <c r="F29" s="27"/>
    </row>
    <row r="30" spans="1:6" x14ac:dyDescent="0.25">
      <c r="D30" s="27" t="s">
        <v>375</v>
      </c>
      <c r="E30" s="27">
        <v>0.13933057921797568</v>
      </c>
      <c r="F30" s="27"/>
    </row>
    <row r="31" spans="1:6" ht="15.75" thickBot="1" x14ac:dyDescent="0.3">
      <c r="D31" s="30" t="s">
        <v>376</v>
      </c>
      <c r="E31" s="30">
        <v>2.5654974067604943</v>
      </c>
      <c r="F31" s="30"/>
    </row>
  </sheetData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G18"/>
  <sheetViews>
    <sheetView workbookViewId="0"/>
  </sheetViews>
  <sheetFormatPr defaultRowHeight="15" x14ac:dyDescent="0.25"/>
  <cols>
    <col min="3" max="3" width="4.5703125" customWidth="1"/>
    <col min="6" max="6" width="3.42578125" customWidth="1"/>
    <col min="7" max="7" width="30.5703125" customWidth="1"/>
  </cols>
  <sheetData>
    <row r="1" spans="1:7" x14ac:dyDescent="0.25">
      <c r="A1" s="1" t="s">
        <v>1662</v>
      </c>
    </row>
    <row r="3" spans="1:7" x14ac:dyDescent="0.25">
      <c r="A3" s="122" t="s">
        <v>134</v>
      </c>
      <c r="B3" s="122" t="s">
        <v>135</v>
      </c>
    </row>
    <row r="4" spans="1:7" x14ac:dyDescent="0.25">
      <c r="A4" s="118">
        <v>4.7</v>
      </c>
      <c r="B4" s="118">
        <v>3.7</v>
      </c>
      <c r="D4" t="s">
        <v>1663</v>
      </c>
      <c r="E4" s="45">
        <f>VAR(A4:A18)</f>
        <v>0.78424242424242674</v>
      </c>
      <c r="G4" s="22" t="s">
        <v>1488</v>
      </c>
    </row>
    <row r="5" spans="1:7" x14ac:dyDescent="0.25">
      <c r="A5" s="118">
        <v>3.7</v>
      </c>
      <c r="B5" s="118">
        <v>4.0999999999999996</v>
      </c>
      <c r="D5" t="s">
        <v>1664</v>
      </c>
      <c r="E5" s="163">
        <f>VAR(B4:B18)</f>
        <v>0.42457142857143787</v>
      </c>
      <c r="G5" s="22" t="s">
        <v>1665</v>
      </c>
    </row>
    <row r="6" spans="1:7" x14ac:dyDescent="0.25">
      <c r="A6" s="118">
        <v>3.2</v>
      </c>
      <c r="B6" s="118">
        <v>3.5</v>
      </c>
      <c r="D6" t="s">
        <v>247</v>
      </c>
      <c r="E6" s="163">
        <f>COUNT(A4:A18)</f>
        <v>12</v>
      </c>
      <c r="G6" t="e">
        <f ca="1">FTEXT(E6)</f>
        <v>#NAME?</v>
      </c>
    </row>
    <row r="7" spans="1:7" x14ac:dyDescent="0.25">
      <c r="A7" s="118">
        <v>3.1</v>
      </c>
      <c r="B7" s="118">
        <v>5.5</v>
      </c>
      <c r="D7" t="s">
        <v>248</v>
      </c>
      <c r="E7" s="163">
        <f>COUNT(B4:B18)</f>
        <v>15</v>
      </c>
      <c r="G7" t="e">
        <f ca="1">FTEXT(E7)</f>
        <v>#NAME?</v>
      </c>
    </row>
    <row r="8" spans="1:7" x14ac:dyDescent="0.25">
      <c r="A8" s="118">
        <v>3.9</v>
      </c>
      <c r="B8" s="118">
        <v>4.0999999999999996</v>
      </c>
      <c r="D8" t="s">
        <v>262</v>
      </c>
      <c r="E8" s="163">
        <v>0.05</v>
      </c>
    </row>
    <row r="9" spans="1:7" x14ac:dyDescent="0.25">
      <c r="A9" s="118">
        <v>4.8</v>
      </c>
      <c r="B9" s="118">
        <v>4.7</v>
      </c>
      <c r="D9" s="22" t="s">
        <v>1053</v>
      </c>
      <c r="E9" s="163">
        <f>FINV(E8/2,E6-1,E7-1)</f>
        <v>3.0945897908988029</v>
      </c>
      <c r="G9" s="22" t="s">
        <v>1666</v>
      </c>
    </row>
    <row r="10" spans="1:7" x14ac:dyDescent="0.25">
      <c r="A10" s="118">
        <v>3.1</v>
      </c>
      <c r="B10" s="118">
        <v>4.9000000000000004</v>
      </c>
      <c r="D10" s="22" t="s">
        <v>1052</v>
      </c>
      <c r="E10" s="163">
        <f>FINV(1-E8/2,E6-1,E7-1)</f>
        <v>0.29772447186265522</v>
      </c>
      <c r="G10" s="22" t="s">
        <v>1667</v>
      </c>
    </row>
    <row r="11" spans="1:7" x14ac:dyDescent="0.25">
      <c r="A11" s="118">
        <v>5.0999999999999996</v>
      </c>
      <c r="B11" s="118">
        <v>3.5</v>
      </c>
      <c r="D11" t="s">
        <v>102</v>
      </c>
      <c r="E11" s="163">
        <f>(E4/E5)/E9</f>
        <v>0.59689299011360608</v>
      </c>
      <c r="G11" t="e">
        <f ca="1">FTEXT(E11)</f>
        <v>#NAME?</v>
      </c>
    </row>
    <row r="12" spans="1:7" x14ac:dyDescent="0.25">
      <c r="A12" s="118">
        <v>4.9000000000000004</v>
      </c>
      <c r="B12" s="118">
        <v>3.9</v>
      </c>
      <c r="D12" t="s">
        <v>103</v>
      </c>
      <c r="E12" s="163">
        <f>(E4/E5)/E10</f>
        <v>6.2041892018763525</v>
      </c>
      <c r="G12" t="e">
        <f ca="1">FTEXT(E12)</f>
        <v>#NAME?</v>
      </c>
    </row>
    <row r="13" spans="1:7" x14ac:dyDescent="0.25">
      <c r="A13" s="118">
        <v>5.3</v>
      </c>
      <c r="B13" s="118">
        <v>3.7</v>
      </c>
      <c r="D13" t="s">
        <v>381</v>
      </c>
      <c r="E13" s="152" t="str">
        <f>IF(AND(E11&lt;1,1&lt;E12),"no","yes")</f>
        <v>no</v>
      </c>
      <c r="G13" t="e">
        <f ca="1">FTEXT(E13)</f>
        <v>#NAME?</v>
      </c>
    </row>
    <row r="14" spans="1:7" x14ac:dyDescent="0.25">
      <c r="A14" s="118">
        <v>2.8</v>
      </c>
      <c r="B14" s="118">
        <v>4.8</v>
      </c>
    </row>
    <row r="15" spans="1:7" x14ac:dyDescent="0.25">
      <c r="A15" s="118">
        <v>4.2</v>
      </c>
      <c r="B15" s="118">
        <v>5</v>
      </c>
    </row>
    <row r="16" spans="1:7" x14ac:dyDescent="0.25">
      <c r="A16" s="118"/>
      <c r="B16" s="118">
        <v>5.3</v>
      </c>
    </row>
    <row r="17" spans="1:2" x14ac:dyDescent="0.25">
      <c r="A17" s="118"/>
      <c r="B17" s="118">
        <v>4.4000000000000004</v>
      </c>
    </row>
    <row r="18" spans="1:2" x14ac:dyDescent="0.25">
      <c r="A18" s="119"/>
      <c r="B18" s="119">
        <v>4.5999999999999996</v>
      </c>
    </row>
  </sheetData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7"/>
  <dimension ref="A1:T109"/>
  <sheetViews>
    <sheetView workbookViewId="0"/>
  </sheetViews>
  <sheetFormatPr defaultRowHeight="15" x14ac:dyDescent="0.25"/>
  <cols>
    <col min="19" max="19" width="3.140625" customWidth="1"/>
    <col min="20" max="20" width="28.140625" customWidth="1"/>
  </cols>
  <sheetData>
    <row r="1" spans="1:20" x14ac:dyDescent="0.25">
      <c r="A1" s="1" t="s">
        <v>1215</v>
      </c>
      <c r="Q1" t="s">
        <v>1213</v>
      </c>
    </row>
    <row r="3" spans="1:20" x14ac:dyDescent="0.25">
      <c r="A3" s="232" t="s">
        <v>168</v>
      </c>
      <c r="B3">
        <v>5</v>
      </c>
      <c r="Q3" t="s">
        <v>262</v>
      </c>
      <c r="R3" s="439">
        <v>0.05</v>
      </c>
    </row>
    <row r="4" spans="1:20" x14ac:dyDescent="0.25">
      <c r="A4" s="1"/>
      <c r="Q4" t="s">
        <v>168</v>
      </c>
      <c r="R4" s="163">
        <v>5</v>
      </c>
    </row>
    <row r="5" spans="1:20" x14ac:dyDescent="0.25">
      <c r="A5" s="75" t="s">
        <v>422</v>
      </c>
      <c r="B5">
        <v>0</v>
      </c>
      <c r="C5">
        <v>2</v>
      </c>
      <c r="D5">
        <v>4</v>
      </c>
      <c r="E5">
        <v>6</v>
      </c>
      <c r="Q5" t="s">
        <v>1210</v>
      </c>
      <c r="R5" s="163">
        <v>6</v>
      </c>
    </row>
    <row r="6" spans="1:20" x14ac:dyDescent="0.25">
      <c r="A6" s="75"/>
      <c r="Q6" t="s">
        <v>28</v>
      </c>
      <c r="R6" s="163" t="e">
        <f ca="1">NCHISQ_INV(R3,R4,R5)</f>
        <v>#NAME?</v>
      </c>
      <c r="T6" t="e">
        <f ca="1">FTEXT(R6)</f>
        <v>#NAME?</v>
      </c>
    </row>
    <row r="7" spans="1:20" x14ac:dyDescent="0.25">
      <c r="A7" s="19" t="s">
        <v>28</v>
      </c>
      <c r="B7" s="19" t="s">
        <v>839</v>
      </c>
      <c r="C7" s="19" t="s">
        <v>840</v>
      </c>
      <c r="D7" s="19" t="s">
        <v>841</v>
      </c>
      <c r="E7" s="19" t="s">
        <v>909</v>
      </c>
      <c r="Q7" t="s">
        <v>262</v>
      </c>
      <c r="R7" s="155" t="e">
        <f ca="1">NCHISQ_DIST(R6,R4,R5,TRUE)</f>
        <v>#NAME?</v>
      </c>
      <c r="T7" t="e">
        <f ca="1">FTEXT(R7)</f>
        <v>#NAME?</v>
      </c>
    </row>
    <row r="8" spans="1:20" x14ac:dyDescent="0.25">
      <c r="A8">
        <v>0</v>
      </c>
      <c r="B8" t="e">
        <f ca="1">NCHISQ_DIST($A8,$B$3,B$5,FALSE)</f>
        <v>#NAME?</v>
      </c>
      <c r="C8" t="e">
        <f ca="1">NCHISQ_DIST($A8,$B$3,C$5,FALSE)</f>
        <v>#NAME?</v>
      </c>
      <c r="D8" t="e">
        <f ca="1">NCHISQ_DIST($A8,$B$3,D$5,FALSE)</f>
        <v>#NAME?</v>
      </c>
      <c r="E8" t="e">
        <f ca="1">NCHISQ_DIST($A8,$B$3,E$5,FALSE)</f>
        <v>#NAME?</v>
      </c>
    </row>
    <row r="9" spans="1:20" x14ac:dyDescent="0.25">
      <c r="A9">
        <f>A8+0.3</f>
        <v>0.3</v>
      </c>
      <c r="B9" t="e">
        <f ca="1">NCHISQ_DIST($A9,$B$3,B$5,FALSE)</f>
        <v>#NAME?</v>
      </c>
      <c r="C9" t="e">
        <f ca="1">NCHISQ_DIST($A9,$B$3,C$5,FALSE)</f>
        <v>#NAME?</v>
      </c>
      <c r="D9" t="e">
        <f ca="1">NCHISQ_DIST($A9,$B$3,D$5,FALSE)</f>
        <v>#NAME?</v>
      </c>
      <c r="E9" t="e">
        <f ca="1">NCHISQ_DIST($A9,$B$3,E$5,FALSE)</f>
        <v>#NAME?</v>
      </c>
    </row>
    <row r="10" spans="1:20" x14ac:dyDescent="0.25">
      <c r="A10">
        <f t="shared" ref="A10:A73" si="0">A9+0.3</f>
        <v>0.6</v>
      </c>
      <c r="B10" t="e">
        <f ca="1">NCHISQ_DIST($A10,$B$3,B$5,FALSE)</f>
        <v>#NAME?</v>
      </c>
      <c r="C10" t="e">
        <f ca="1">NCHISQ_DIST($A10,$B$3,C$5,FALSE)</f>
        <v>#NAME?</v>
      </c>
      <c r="D10" t="e">
        <f ca="1">NCHISQ_DIST($A10,$B$3,D$5,FALSE)</f>
        <v>#NAME?</v>
      </c>
      <c r="E10" t="e">
        <f ca="1">NCHISQ_DIST($A10,$B$3,E$5,FALSE)</f>
        <v>#NAME?</v>
      </c>
      <c r="R10" s="439" t="e">
        <f ca="1">NCHISQ_DIST(6,5,4,FALSE)</f>
        <v>#NAME?</v>
      </c>
      <c r="T10" t="e">
        <f ca="1">FTEXT(R10)</f>
        <v>#NAME?</v>
      </c>
    </row>
    <row r="11" spans="1:20" x14ac:dyDescent="0.25">
      <c r="A11">
        <f t="shared" si="0"/>
        <v>0.89999999999999991</v>
      </c>
      <c r="B11" t="e">
        <f ca="1">NCHISQ_DIST($A11,$B$3,B$5,FALSE)</f>
        <v>#NAME?</v>
      </c>
      <c r="C11" t="e">
        <f ca="1">NCHISQ_DIST($A11,$B$3,C$5,FALSE)</f>
        <v>#NAME?</v>
      </c>
      <c r="D11" t="e">
        <f ca="1">NCHISQ_DIST($A11,$B$3,D$5,FALSE)</f>
        <v>#NAME?</v>
      </c>
      <c r="E11" t="e">
        <f ca="1">NCHISQ_DIST($A11,$B$3,E$5,FALSE)</f>
        <v>#NAME?</v>
      </c>
      <c r="R11" s="155" t="e">
        <f ca="1">NCHISQ_DIST(6,5,4,TRUE)</f>
        <v>#NAME?</v>
      </c>
      <c r="T11" t="e">
        <f ca="1">FTEXT(R11)</f>
        <v>#NAME?</v>
      </c>
    </row>
    <row r="12" spans="1:20" x14ac:dyDescent="0.25">
      <c r="A12">
        <f t="shared" si="0"/>
        <v>1.2</v>
      </c>
      <c r="B12" t="e">
        <f ca="1">NCHISQ_DIST($A12,$B$3,B$5,FALSE)</f>
        <v>#NAME?</v>
      </c>
      <c r="C12" t="e">
        <f ca="1">NCHISQ_DIST($A12,$B$3,C$5,FALSE)</f>
        <v>#NAME?</v>
      </c>
      <c r="D12" t="e">
        <f ca="1">NCHISQ_DIST($A12,$B$3,D$5,FALSE)</f>
        <v>#NAME?</v>
      </c>
      <c r="E12" t="e">
        <f ca="1">NCHISQ_DIST($A12,$B$3,E$5,FALSE)</f>
        <v>#NAME?</v>
      </c>
    </row>
    <row r="13" spans="1:20" x14ac:dyDescent="0.25">
      <c r="A13">
        <f t="shared" si="0"/>
        <v>1.5</v>
      </c>
      <c r="B13" t="e">
        <f ca="1">NCHISQ_DIST($A13,$B$3,B$5,FALSE)</f>
        <v>#NAME?</v>
      </c>
      <c r="C13" t="e">
        <f ca="1">NCHISQ_DIST($A13,$B$3,C$5,FALSE)</f>
        <v>#NAME?</v>
      </c>
      <c r="D13" t="e">
        <f ca="1">NCHISQ_DIST($A13,$B$3,D$5,FALSE)</f>
        <v>#NAME?</v>
      </c>
      <c r="E13" t="e">
        <f ca="1">NCHISQ_DIST($A13,$B$3,E$5,FALSE)</f>
        <v>#NAME?</v>
      </c>
    </row>
    <row r="14" spans="1:20" x14ac:dyDescent="0.25">
      <c r="A14">
        <f t="shared" si="0"/>
        <v>1.8</v>
      </c>
      <c r="B14" t="e">
        <f ca="1">NCHISQ_DIST($A14,$B$3,B$5,FALSE)</f>
        <v>#NAME?</v>
      </c>
      <c r="C14" t="e">
        <f ca="1">NCHISQ_DIST($A14,$B$3,C$5,FALSE)</f>
        <v>#NAME?</v>
      </c>
      <c r="D14" t="e">
        <f ca="1">NCHISQ_DIST($A14,$B$3,D$5,FALSE)</f>
        <v>#NAME?</v>
      </c>
      <c r="E14" t="e">
        <f ca="1">NCHISQ_DIST($A14,$B$3,E$5,FALSE)</f>
        <v>#NAME?</v>
      </c>
    </row>
    <row r="15" spans="1:20" x14ac:dyDescent="0.25">
      <c r="A15">
        <f t="shared" si="0"/>
        <v>2.1</v>
      </c>
      <c r="B15" t="e">
        <f ca="1">NCHISQ_DIST($A15,$B$3,B$5,FALSE)</f>
        <v>#NAME?</v>
      </c>
      <c r="C15" t="e">
        <f ca="1">NCHISQ_DIST($A15,$B$3,C$5,FALSE)</f>
        <v>#NAME?</v>
      </c>
      <c r="D15" t="e">
        <f ca="1">NCHISQ_DIST($A15,$B$3,D$5,FALSE)</f>
        <v>#NAME?</v>
      </c>
      <c r="E15" t="e">
        <f ca="1">NCHISQ_DIST($A15,$B$3,E$5,FALSE)</f>
        <v>#NAME?</v>
      </c>
    </row>
    <row r="16" spans="1:20" x14ac:dyDescent="0.25">
      <c r="A16">
        <f t="shared" si="0"/>
        <v>2.4</v>
      </c>
      <c r="B16" t="e">
        <f ca="1">NCHISQ_DIST($A16,$B$3,B$5,FALSE)</f>
        <v>#NAME?</v>
      </c>
      <c r="C16" t="e">
        <f ca="1">NCHISQ_DIST($A16,$B$3,C$5,FALSE)</f>
        <v>#NAME?</v>
      </c>
      <c r="D16" t="e">
        <f ca="1">NCHISQ_DIST($A16,$B$3,D$5,FALSE)</f>
        <v>#NAME?</v>
      </c>
      <c r="E16" t="e">
        <f ca="1">NCHISQ_DIST($A16,$B$3,E$5,FALSE)</f>
        <v>#NAME?</v>
      </c>
    </row>
    <row r="17" spans="1:5" x14ac:dyDescent="0.25">
      <c r="A17">
        <f t="shared" si="0"/>
        <v>2.6999999999999997</v>
      </c>
      <c r="B17" t="e">
        <f ca="1">NCHISQ_DIST($A17,$B$3,B$5,FALSE)</f>
        <v>#NAME?</v>
      </c>
      <c r="C17" t="e">
        <f ca="1">NCHISQ_DIST($A17,$B$3,C$5,FALSE)</f>
        <v>#NAME?</v>
      </c>
      <c r="D17" t="e">
        <f ca="1">NCHISQ_DIST($A17,$B$3,D$5,FALSE)</f>
        <v>#NAME?</v>
      </c>
      <c r="E17" t="e">
        <f ca="1">NCHISQ_DIST($A17,$B$3,E$5,FALSE)</f>
        <v>#NAME?</v>
      </c>
    </row>
    <row r="18" spans="1:5" x14ac:dyDescent="0.25">
      <c r="A18">
        <f t="shared" si="0"/>
        <v>2.9999999999999996</v>
      </c>
      <c r="B18" t="e">
        <f ca="1">NCHISQ_DIST($A18,$B$3,B$5,FALSE)</f>
        <v>#NAME?</v>
      </c>
      <c r="C18" t="e">
        <f ca="1">NCHISQ_DIST($A18,$B$3,C$5,FALSE)</f>
        <v>#NAME?</v>
      </c>
      <c r="D18" t="e">
        <f ca="1">NCHISQ_DIST($A18,$B$3,D$5,FALSE)</f>
        <v>#NAME?</v>
      </c>
      <c r="E18" t="e">
        <f ca="1">NCHISQ_DIST($A18,$B$3,E$5,FALSE)</f>
        <v>#NAME?</v>
      </c>
    </row>
    <row r="19" spans="1:5" x14ac:dyDescent="0.25">
      <c r="A19">
        <f t="shared" si="0"/>
        <v>3.2999999999999994</v>
      </c>
      <c r="B19" t="e">
        <f ca="1">NCHISQ_DIST($A19,$B$3,B$5,FALSE)</f>
        <v>#NAME?</v>
      </c>
      <c r="C19" t="e">
        <f ca="1">NCHISQ_DIST($A19,$B$3,C$5,FALSE)</f>
        <v>#NAME?</v>
      </c>
      <c r="D19" t="e">
        <f ca="1">NCHISQ_DIST($A19,$B$3,D$5,FALSE)</f>
        <v>#NAME?</v>
      </c>
      <c r="E19" t="e">
        <f ca="1">NCHISQ_DIST($A19,$B$3,E$5,FALSE)</f>
        <v>#NAME?</v>
      </c>
    </row>
    <row r="20" spans="1:5" x14ac:dyDescent="0.25">
      <c r="A20">
        <f t="shared" si="0"/>
        <v>3.5999999999999992</v>
      </c>
      <c r="B20" t="e">
        <f ca="1">NCHISQ_DIST($A20,$B$3,B$5,FALSE)</f>
        <v>#NAME?</v>
      </c>
      <c r="C20" t="e">
        <f ca="1">NCHISQ_DIST($A20,$B$3,C$5,FALSE)</f>
        <v>#NAME?</v>
      </c>
      <c r="D20" t="e">
        <f ca="1">NCHISQ_DIST($A20,$B$3,D$5,FALSE)</f>
        <v>#NAME?</v>
      </c>
      <c r="E20" t="e">
        <f ca="1">NCHISQ_DIST($A20,$B$3,E$5,FALSE)</f>
        <v>#NAME?</v>
      </c>
    </row>
    <row r="21" spans="1:5" x14ac:dyDescent="0.25">
      <c r="A21">
        <f t="shared" si="0"/>
        <v>3.899999999999999</v>
      </c>
      <c r="B21" t="e">
        <f ca="1">NCHISQ_DIST($A21,$B$3,B$5,FALSE)</f>
        <v>#NAME?</v>
      </c>
      <c r="C21" t="e">
        <f ca="1">NCHISQ_DIST($A21,$B$3,C$5,FALSE)</f>
        <v>#NAME?</v>
      </c>
      <c r="D21" t="e">
        <f ca="1">NCHISQ_DIST($A21,$B$3,D$5,FALSE)</f>
        <v>#NAME?</v>
      </c>
      <c r="E21" t="e">
        <f ca="1">NCHISQ_DIST($A21,$B$3,E$5,FALSE)</f>
        <v>#NAME?</v>
      </c>
    </row>
    <row r="22" spans="1:5" x14ac:dyDescent="0.25">
      <c r="A22">
        <f t="shared" si="0"/>
        <v>4.1999999999999993</v>
      </c>
      <c r="B22" t="e">
        <f ca="1">NCHISQ_DIST($A22,$B$3,B$5,FALSE)</f>
        <v>#NAME?</v>
      </c>
      <c r="C22" t="e">
        <f ca="1">NCHISQ_DIST($A22,$B$3,C$5,FALSE)</f>
        <v>#NAME?</v>
      </c>
      <c r="D22" t="e">
        <f ca="1">NCHISQ_DIST($A22,$B$3,D$5,FALSE)</f>
        <v>#NAME?</v>
      </c>
      <c r="E22" t="e">
        <f ca="1">NCHISQ_DIST($A22,$B$3,E$5,FALSE)</f>
        <v>#NAME?</v>
      </c>
    </row>
    <row r="23" spans="1:5" x14ac:dyDescent="0.25">
      <c r="A23">
        <f t="shared" si="0"/>
        <v>4.4999999999999991</v>
      </c>
      <c r="B23" t="e">
        <f ca="1">NCHISQ_DIST($A23,$B$3,B$5,FALSE)</f>
        <v>#NAME?</v>
      </c>
      <c r="C23" t="e">
        <f ca="1">NCHISQ_DIST($A23,$B$3,C$5,FALSE)</f>
        <v>#NAME?</v>
      </c>
      <c r="D23" t="e">
        <f ca="1">NCHISQ_DIST($A23,$B$3,D$5,FALSE)</f>
        <v>#NAME?</v>
      </c>
      <c r="E23" t="e">
        <f ca="1">NCHISQ_DIST($A23,$B$3,E$5,FALSE)</f>
        <v>#NAME?</v>
      </c>
    </row>
    <row r="24" spans="1:5" x14ac:dyDescent="0.25">
      <c r="A24">
        <f t="shared" si="0"/>
        <v>4.7999999999999989</v>
      </c>
      <c r="B24" t="e">
        <f ca="1">NCHISQ_DIST($A24,$B$3,B$5,FALSE)</f>
        <v>#NAME?</v>
      </c>
      <c r="C24" t="e">
        <f ca="1">NCHISQ_DIST($A24,$B$3,C$5,FALSE)</f>
        <v>#NAME?</v>
      </c>
      <c r="D24" t="e">
        <f ca="1">NCHISQ_DIST($A24,$B$3,D$5,FALSE)</f>
        <v>#NAME?</v>
      </c>
      <c r="E24" t="e">
        <f ca="1">NCHISQ_DIST($A24,$B$3,E$5,FALSE)</f>
        <v>#NAME?</v>
      </c>
    </row>
    <row r="25" spans="1:5" x14ac:dyDescent="0.25">
      <c r="A25">
        <f t="shared" si="0"/>
        <v>5.0999999999999988</v>
      </c>
      <c r="B25" t="e">
        <f ca="1">NCHISQ_DIST($A25,$B$3,B$5,FALSE)</f>
        <v>#NAME?</v>
      </c>
      <c r="C25" t="e">
        <f ca="1">NCHISQ_DIST($A25,$B$3,C$5,FALSE)</f>
        <v>#NAME?</v>
      </c>
      <c r="D25" t="e">
        <f ca="1">NCHISQ_DIST($A25,$B$3,D$5,FALSE)</f>
        <v>#NAME?</v>
      </c>
      <c r="E25" t="e">
        <f ca="1">NCHISQ_DIST($A25,$B$3,E$5,FALSE)</f>
        <v>#NAME?</v>
      </c>
    </row>
    <row r="26" spans="1:5" x14ac:dyDescent="0.25">
      <c r="A26">
        <f t="shared" si="0"/>
        <v>5.3999999999999986</v>
      </c>
      <c r="B26" t="e">
        <f ca="1">NCHISQ_DIST($A26,$B$3,B$5,FALSE)</f>
        <v>#NAME?</v>
      </c>
      <c r="C26" t="e">
        <f ca="1">NCHISQ_DIST($A26,$B$3,C$5,FALSE)</f>
        <v>#NAME?</v>
      </c>
      <c r="D26" t="e">
        <f ca="1">NCHISQ_DIST($A26,$B$3,D$5,FALSE)</f>
        <v>#NAME?</v>
      </c>
      <c r="E26" t="e">
        <f ca="1">NCHISQ_DIST($A26,$B$3,E$5,FALSE)</f>
        <v>#NAME?</v>
      </c>
    </row>
    <row r="27" spans="1:5" x14ac:dyDescent="0.25">
      <c r="A27">
        <f t="shared" si="0"/>
        <v>5.6999999999999984</v>
      </c>
      <c r="B27" t="e">
        <f ca="1">NCHISQ_DIST($A27,$B$3,B$5,FALSE)</f>
        <v>#NAME?</v>
      </c>
      <c r="C27" t="e">
        <f ca="1">NCHISQ_DIST($A27,$B$3,C$5,FALSE)</f>
        <v>#NAME?</v>
      </c>
      <c r="D27" t="e">
        <f ca="1">NCHISQ_DIST($A27,$B$3,D$5,FALSE)</f>
        <v>#NAME?</v>
      </c>
      <c r="E27" t="e">
        <f ca="1">NCHISQ_DIST($A27,$B$3,E$5,FALSE)</f>
        <v>#NAME?</v>
      </c>
    </row>
    <row r="28" spans="1:5" x14ac:dyDescent="0.25">
      <c r="A28">
        <f t="shared" si="0"/>
        <v>5.9999999999999982</v>
      </c>
      <c r="B28" t="e">
        <f ca="1">NCHISQ_DIST($A28,$B$3,B$5,FALSE)</f>
        <v>#NAME?</v>
      </c>
      <c r="C28" t="e">
        <f ca="1">NCHISQ_DIST($A28,$B$3,C$5,FALSE)</f>
        <v>#NAME?</v>
      </c>
      <c r="D28" t="e">
        <f ca="1">NCHISQ_DIST($A28,$B$3,D$5,FALSE)</f>
        <v>#NAME?</v>
      </c>
      <c r="E28" t="e">
        <f ca="1">NCHISQ_DIST($A28,$B$3,E$5,FALSE)</f>
        <v>#NAME?</v>
      </c>
    </row>
    <row r="29" spans="1:5" x14ac:dyDescent="0.25">
      <c r="A29">
        <f t="shared" si="0"/>
        <v>6.299999999999998</v>
      </c>
      <c r="B29" t="e">
        <f ca="1">NCHISQ_DIST($A29,$B$3,B$5,FALSE)</f>
        <v>#NAME?</v>
      </c>
      <c r="C29" t="e">
        <f ca="1">NCHISQ_DIST($A29,$B$3,C$5,FALSE)</f>
        <v>#NAME?</v>
      </c>
      <c r="D29" t="e">
        <f ca="1">NCHISQ_DIST($A29,$B$3,D$5,FALSE)</f>
        <v>#NAME?</v>
      </c>
      <c r="E29" t="e">
        <f ca="1">NCHISQ_DIST($A29,$B$3,E$5,FALSE)</f>
        <v>#NAME?</v>
      </c>
    </row>
    <row r="30" spans="1:5" x14ac:dyDescent="0.25">
      <c r="A30">
        <f t="shared" si="0"/>
        <v>6.5999999999999979</v>
      </c>
      <c r="B30" t="e">
        <f ca="1">NCHISQ_DIST($A30,$B$3,B$5,FALSE)</f>
        <v>#NAME?</v>
      </c>
      <c r="C30" t="e">
        <f ca="1">NCHISQ_DIST($A30,$B$3,C$5,FALSE)</f>
        <v>#NAME?</v>
      </c>
      <c r="D30" t="e">
        <f ca="1">NCHISQ_DIST($A30,$B$3,D$5,FALSE)</f>
        <v>#NAME?</v>
      </c>
      <c r="E30" t="e">
        <f ca="1">NCHISQ_DIST($A30,$B$3,E$5,FALSE)</f>
        <v>#NAME?</v>
      </c>
    </row>
    <row r="31" spans="1:5" x14ac:dyDescent="0.25">
      <c r="A31">
        <f t="shared" si="0"/>
        <v>6.8999999999999977</v>
      </c>
      <c r="B31" t="e">
        <f ca="1">NCHISQ_DIST($A31,$B$3,B$5,FALSE)</f>
        <v>#NAME?</v>
      </c>
      <c r="C31" t="e">
        <f ca="1">NCHISQ_DIST($A31,$B$3,C$5,FALSE)</f>
        <v>#NAME?</v>
      </c>
      <c r="D31" t="e">
        <f ca="1">NCHISQ_DIST($A31,$B$3,D$5,FALSE)</f>
        <v>#NAME?</v>
      </c>
      <c r="E31" t="e">
        <f ca="1">NCHISQ_DIST($A31,$B$3,E$5,FALSE)</f>
        <v>#NAME?</v>
      </c>
    </row>
    <row r="32" spans="1:5" x14ac:dyDescent="0.25">
      <c r="A32">
        <f t="shared" si="0"/>
        <v>7.1999999999999975</v>
      </c>
      <c r="B32" t="e">
        <f ca="1">NCHISQ_DIST($A32,$B$3,B$5,FALSE)</f>
        <v>#NAME?</v>
      </c>
      <c r="C32" t="e">
        <f ca="1">NCHISQ_DIST($A32,$B$3,C$5,FALSE)</f>
        <v>#NAME?</v>
      </c>
      <c r="D32" t="e">
        <f ca="1">NCHISQ_DIST($A32,$B$3,D$5,FALSE)</f>
        <v>#NAME?</v>
      </c>
      <c r="E32" t="e">
        <f ca="1">NCHISQ_DIST($A32,$B$3,E$5,FALSE)</f>
        <v>#NAME?</v>
      </c>
    </row>
    <row r="33" spans="1:5" x14ac:dyDescent="0.25">
      <c r="A33">
        <f t="shared" si="0"/>
        <v>7.4999999999999973</v>
      </c>
      <c r="B33" t="e">
        <f ca="1">NCHISQ_DIST($A33,$B$3,B$5,FALSE)</f>
        <v>#NAME?</v>
      </c>
      <c r="C33" t="e">
        <f ca="1">NCHISQ_DIST($A33,$B$3,C$5,FALSE)</f>
        <v>#NAME?</v>
      </c>
      <c r="D33" t="e">
        <f ca="1">NCHISQ_DIST($A33,$B$3,D$5,FALSE)</f>
        <v>#NAME?</v>
      </c>
      <c r="E33" t="e">
        <f ca="1">NCHISQ_DIST($A33,$B$3,E$5,FALSE)</f>
        <v>#NAME?</v>
      </c>
    </row>
    <row r="34" spans="1:5" x14ac:dyDescent="0.25">
      <c r="A34">
        <f t="shared" si="0"/>
        <v>7.7999999999999972</v>
      </c>
      <c r="B34" t="e">
        <f ca="1">NCHISQ_DIST($A34,$B$3,B$5,FALSE)</f>
        <v>#NAME?</v>
      </c>
      <c r="C34" t="e">
        <f ca="1">NCHISQ_DIST($A34,$B$3,C$5,FALSE)</f>
        <v>#NAME?</v>
      </c>
      <c r="D34" t="e">
        <f ca="1">NCHISQ_DIST($A34,$B$3,D$5,FALSE)</f>
        <v>#NAME?</v>
      </c>
      <c r="E34" t="e">
        <f ca="1">NCHISQ_DIST($A34,$B$3,E$5,FALSE)</f>
        <v>#NAME?</v>
      </c>
    </row>
    <row r="35" spans="1:5" x14ac:dyDescent="0.25">
      <c r="A35">
        <f t="shared" si="0"/>
        <v>8.0999999999999979</v>
      </c>
      <c r="B35" t="e">
        <f ca="1">NCHISQ_DIST($A35,$B$3,B$5,FALSE)</f>
        <v>#NAME?</v>
      </c>
      <c r="C35" t="e">
        <f ca="1">NCHISQ_DIST($A35,$B$3,C$5,FALSE)</f>
        <v>#NAME?</v>
      </c>
      <c r="D35" t="e">
        <f ca="1">NCHISQ_DIST($A35,$B$3,D$5,FALSE)</f>
        <v>#NAME?</v>
      </c>
      <c r="E35" t="e">
        <f ca="1">NCHISQ_DIST($A35,$B$3,E$5,FALSE)</f>
        <v>#NAME?</v>
      </c>
    </row>
    <row r="36" spans="1:5" x14ac:dyDescent="0.25">
      <c r="A36">
        <f t="shared" si="0"/>
        <v>8.3999999999999986</v>
      </c>
      <c r="B36" t="e">
        <f ca="1">NCHISQ_DIST($A36,$B$3,B$5,FALSE)</f>
        <v>#NAME?</v>
      </c>
      <c r="C36" t="e">
        <f ca="1">NCHISQ_DIST($A36,$B$3,C$5,FALSE)</f>
        <v>#NAME?</v>
      </c>
      <c r="D36" t="e">
        <f ca="1">NCHISQ_DIST($A36,$B$3,D$5,FALSE)</f>
        <v>#NAME?</v>
      </c>
      <c r="E36" t="e">
        <f ca="1">NCHISQ_DIST($A36,$B$3,E$5,FALSE)</f>
        <v>#NAME?</v>
      </c>
    </row>
    <row r="37" spans="1:5" x14ac:dyDescent="0.25">
      <c r="A37">
        <f t="shared" si="0"/>
        <v>8.6999999999999993</v>
      </c>
      <c r="B37" t="e">
        <f ca="1">NCHISQ_DIST($A37,$B$3,B$5,FALSE)</f>
        <v>#NAME?</v>
      </c>
      <c r="C37" t="e">
        <f ca="1">NCHISQ_DIST($A37,$B$3,C$5,FALSE)</f>
        <v>#NAME?</v>
      </c>
      <c r="D37" t="e">
        <f ca="1">NCHISQ_DIST($A37,$B$3,D$5,FALSE)</f>
        <v>#NAME?</v>
      </c>
      <c r="E37" t="e">
        <f ca="1">NCHISQ_DIST($A37,$B$3,E$5,FALSE)</f>
        <v>#NAME?</v>
      </c>
    </row>
    <row r="38" spans="1:5" x14ac:dyDescent="0.25">
      <c r="A38">
        <f t="shared" si="0"/>
        <v>9</v>
      </c>
      <c r="B38" t="e">
        <f ca="1">NCHISQ_DIST($A38,$B$3,B$5,FALSE)</f>
        <v>#NAME?</v>
      </c>
      <c r="C38" t="e">
        <f ca="1">NCHISQ_DIST($A38,$B$3,C$5,FALSE)</f>
        <v>#NAME?</v>
      </c>
      <c r="D38" t="e">
        <f ca="1">NCHISQ_DIST($A38,$B$3,D$5,FALSE)</f>
        <v>#NAME?</v>
      </c>
      <c r="E38" t="e">
        <f ca="1">NCHISQ_DIST($A38,$B$3,E$5,FALSE)</f>
        <v>#NAME?</v>
      </c>
    </row>
    <row r="39" spans="1:5" x14ac:dyDescent="0.25">
      <c r="A39">
        <f t="shared" si="0"/>
        <v>9.3000000000000007</v>
      </c>
      <c r="B39" t="e">
        <f ca="1">NCHISQ_DIST($A39,$B$3,B$5,FALSE)</f>
        <v>#NAME?</v>
      </c>
      <c r="C39" t="e">
        <f ca="1">NCHISQ_DIST($A39,$B$3,C$5,FALSE)</f>
        <v>#NAME?</v>
      </c>
      <c r="D39" t="e">
        <f ca="1">NCHISQ_DIST($A39,$B$3,D$5,FALSE)</f>
        <v>#NAME?</v>
      </c>
      <c r="E39" t="e">
        <f ca="1">NCHISQ_DIST($A39,$B$3,E$5,FALSE)</f>
        <v>#NAME?</v>
      </c>
    </row>
    <row r="40" spans="1:5" x14ac:dyDescent="0.25">
      <c r="A40">
        <f t="shared" si="0"/>
        <v>9.6000000000000014</v>
      </c>
      <c r="B40" t="e">
        <f ca="1">NCHISQ_DIST($A40,$B$3,B$5,FALSE)</f>
        <v>#NAME?</v>
      </c>
      <c r="C40" t="e">
        <f ca="1">NCHISQ_DIST($A40,$B$3,C$5,FALSE)</f>
        <v>#NAME?</v>
      </c>
      <c r="D40" t="e">
        <f ca="1">NCHISQ_DIST($A40,$B$3,D$5,FALSE)</f>
        <v>#NAME?</v>
      </c>
      <c r="E40" t="e">
        <f ca="1">NCHISQ_DIST($A40,$B$3,E$5,FALSE)</f>
        <v>#NAME?</v>
      </c>
    </row>
    <row r="41" spans="1:5" x14ac:dyDescent="0.25">
      <c r="A41">
        <f t="shared" si="0"/>
        <v>9.9000000000000021</v>
      </c>
      <c r="B41" t="e">
        <f ca="1">NCHISQ_DIST($A41,$B$3,B$5,FALSE)</f>
        <v>#NAME?</v>
      </c>
      <c r="C41" t="e">
        <f ca="1">NCHISQ_DIST($A41,$B$3,C$5,FALSE)</f>
        <v>#NAME?</v>
      </c>
      <c r="D41" t="e">
        <f ca="1">NCHISQ_DIST($A41,$B$3,D$5,FALSE)</f>
        <v>#NAME?</v>
      </c>
      <c r="E41" t="e">
        <f ca="1">NCHISQ_DIST($A41,$B$3,E$5,FALSE)</f>
        <v>#NAME?</v>
      </c>
    </row>
    <row r="42" spans="1:5" x14ac:dyDescent="0.25">
      <c r="A42">
        <f t="shared" si="0"/>
        <v>10.200000000000003</v>
      </c>
      <c r="B42" t="e">
        <f ca="1">NCHISQ_DIST($A42,$B$3,B$5,FALSE)</f>
        <v>#NAME?</v>
      </c>
      <c r="C42" t="e">
        <f ca="1">NCHISQ_DIST($A42,$B$3,C$5,FALSE)</f>
        <v>#NAME?</v>
      </c>
      <c r="D42" t="e">
        <f ca="1">NCHISQ_DIST($A42,$B$3,D$5,FALSE)</f>
        <v>#NAME?</v>
      </c>
      <c r="E42" t="e">
        <f ca="1">NCHISQ_DIST($A42,$B$3,E$5,FALSE)</f>
        <v>#NAME?</v>
      </c>
    </row>
    <row r="43" spans="1:5" x14ac:dyDescent="0.25">
      <c r="A43">
        <f t="shared" si="0"/>
        <v>10.500000000000004</v>
      </c>
      <c r="B43" t="e">
        <f ca="1">NCHISQ_DIST($A43,$B$3,B$5,FALSE)</f>
        <v>#NAME?</v>
      </c>
      <c r="C43" t="e">
        <f ca="1">NCHISQ_DIST($A43,$B$3,C$5,FALSE)</f>
        <v>#NAME?</v>
      </c>
      <c r="D43" t="e">
        <f ca="1">NCHISQ_DIST($A43,$B$3,D$5,FALSE)</f>
        <v>#NAME?</v>
      </c>
      <c r="E43" t="e">
        <f ca="1">NCHISQ_DIST($A43,$B$3,E$5,FALSE)</f>
        <v>#NAME?</v>
      </c>
    </row>
    <row r="44" spans="1:5" x14ac:dyDescent="0.25">
      <c r="A44">
        <f t="shared" si="0"/>
        <v>10.800000000000004</v>
      </c>
      <c r="B44" t="e">
        <f ca="1">NCHISQ_DIST($A44,$B$3,B$5,FALSE)</f>
        <v>#NAME?</v>
      </c>
      <c r="C44" t="e">
        <f ca="1">NCHISQ_DIST($A44,$B$3,C$5,FALSE)</f>
        <v>#NAME?</v>
      </c>
      <c r="D44" t="e">
        <f ca="1">NCHISQ_DIST($A44,$B$3,D$5,FALSE)</f>
        <v>#NAME?</v>
      </c>
      <c r="E44" t="e">
        <f ca="1">NCHISQ_DIST($A44,$B$3,E$5,FALSE)</f>
        <v>#NAME?</v>
      </c>
    </row>
    <row r="45" spans="1:5" x14ac:dyDescent="0.25">
      <c r="A45">
        <f t="shared" si="0"/>
        <v>11.100000000000005</v>
      </c>
      <c r="B45" t="e">
        <f ca="1">NCHISQ_DIST($A45,$B$3,B$5,FALSE)</f>
        <v>#NAME?</v>
      </c>
      <c r="C45" t="e">
        <f ca="1">NCHISQ_DIST($A45,$B$3,C$5,FALSE)</f>
        <v>#NAME?</v>
      </c>
      <c r="D45" t="e">
        <f ca="1">NCHISQ_DIST($A45,$B$3,D$5,FALSE)</f>
        <v>#NAME?</v>
      </c>
      <c r="E45" t="e">
        <f ca="1">NCHISQ_DIST($A45,$B$3,E$5,FALSE)</f>
        <v>#NAME?</v>
      </c>
    </row>
    <row r="46" spans="1:5" x14ac:dyDescent="0.25">
      <c r="A46">
        <f t="shared" si="0"/>
        <v>11.400000000000006</v>
      </c>
      <c r="B46" t="e">
        <f ca="1">NCHISQ_DIST($A46,$B$3,B$5,FALSE)</f>
        <v>#NAME?</v>
      </c>
      <c r="C46" t="e">
        <f ca="1">NCHISQ_DIST($A46,$B$3,C$5,FALSE)</f>
        <v>#NAME?</v>
      </c>
      <c r="D46" t="e">
        <f ca="1">NCHISQ_DIST($A46,$B$3,D$5,FALSE)</f>
        <v>#NAME?</v>
      </c>
      <c r="E46" t="e">
        <f ca="1">NCHISQ_DIST($A46,$B$3,E$5,FALSE)</f>
        <v>#NAME?</v>
      </c>
    </row>
    <row r="47" spans="1:5" x14ac:dyDescent="0.25">
      <c r="A47">
        <f t="shared" si="0"/>
        <v>11.700000000000006</v>
      </c>
      <c r="B47" t="e">
        <f ca="1">NCHISQ_DIST($A47,$B$3,B$5,FALSE)</f>
        <v>#NAME?</v>
      </c>
      <c r="C47" t="e">
        <f ca="1">NCHISQ_DIST($A47,$B$3,C$5,FALSE)</f>
        <v>#NAME?</v>
      </c>
      <c r="D47" t="e">
        <f ca="1">NCHISQ_DIST($A47,$B$3,D$5,FALSE)</f>
        <v>#NAME?</v>
      </c>
      <c r="E47" t="e">
        <f ca="1">NCHISQ_DIST($A47,$B$3,E$5,FALSE)</f>
        <v>#NAME?</v>
      </c>
    </row>
    <row r="48" spans="1:5" x14ac:dyDescent="0.25">
      <c r="A48">
        <f t="shared" si="0"/>
        <v>12.000000000000007</v>
      </c>
      <c r="B48" t="e">
        <f ca="1">NCHISQ_DIST($A48,$B$3,B$5,FALSE)</f>
        <v>#NAME?</v>
      </c>
      <c r="C48" t="e">
        <f ca="1">NCHISQ_DIST($A48,$B$3,C$5,FALSE)</f>
        <v>#NAME?</v>
      </c>
      <c r="D48" t="e">
        <f ca="1">NCHISQ_DIST($A48,$B$3,D$5,FALSE)</f>
        <v>#NAME?</v>
      </c>
      <c r="E48" t="e">
        <f ca="1">NCHISQ_DIST($A48,$B$3,E$5,FALSE)</f>
        <v>#NAME?</v>
      </c>
    </row>
    <row r="49" spans="1:5" x14ac:dyDescent="0.25">
      <c r="A49">
        <f t="shared" si="0"/>
        <v>12.300000000000008</v>
      </c>
      <c r="B49" t="e">
        <f ca="1">NCHISQ_DIST($A49,$B$3,B$5,FALSE)</f>
        <v>#NAME?</v>
      </c>
      <c r="C49" t="e">
        <f ca="1">NCHISQ_DIST($A49,$B$3,C$5,FALSE)</f>
        <v>#NAME?</v>
      </c>
      <c r="D49" t="e">
        <f ca="1">NCHISQ_DIST($A49,$B$3,D$5,FALSE)</f>
        <v>#NAME?</v>
      </c>
      <c r="E49" t="e">
        <f ca="1">NCHISQ_DIST($A49,$B$3,E$5,FALSE)</f>
        <v>#NAME?</v>
      </c>
    </row>
    <row r="50" spans="1:5" x14ac:dyDescent="0.25">
      <c r="A50">
        <f t="shared" si="0"/>
        <v>12.600000000000009</v>
      </c>
      <c r="B50" t="e">
        <f ca="1">NCHISQ_DIST($A50,$B$3,B$5,FALSE)</f>
        <v>#NAME?</v>
      </c>
      <c r="C50" t="e">
        <f ca="1">NCHISQ_DIST($A50,$B$3,C$5,FALSE)</f>
        <v>#NAME?</v>
      </c>
      <c r="D50" t="e">
        <f ca="1">NCHISQ_DIST($A50,$B$3,D$5,FALSE)</f>
        <v>#NAME?</v>
      </c>
      <c r="E50" t="e">
        <f ca="1">NCHISQ_DIST($A50,$B$3,E$5,FALSE)</f>
        <v>#NAME?</v>
      </c>
    </row>
    <row r="51" spans="1:5" x14ac:dyDescent="0.25">
      <c r="A51">
        <f t="shared" si="0"/>
        <v>12.900000000000009</v>
      </c>
      <c r="B51" t="e">
        <f ca="1">NCHISQ_DIST($A51,$B$3,B$5,FALSE)</f>
        <v>#NAME?</v>
      </c>
      <c r="C51" t="e">
        <f ca="1">NCHISQ_DIST($A51,$B$3,C$5,FALSE)</f>
        <v>#NAME?</v>
      </c>
      <c r="D51" t="e">
        <f ca="1">NCHISQ_DIST($A51,$B$3,D$5,FALSE)</f>
        <v>#NAME?</v>
      </c>
      <c r="E51" t="e">
        <f ca="1">NCHISQ_DIST($A51,$B$3,E$5,FALSE)</f>
        <v>#NAME?</v>
      </c>
    </row>
    <row r="52" spans="1:5" x14ac:dyDescent="0.25">
      <c r="A52">
        <f t="shared" si="0"/>
        <v>13.20000000000001</v>
      </c>
      <c r="B52" t="e">
        <f ca="1">NCHISQ_DIST($A52,$B$3,B$5,FALSE)</f>
        <v>#NAME?</v>
      </c>
      <c r="C52" t="e">
        <f ca="1">NCHISQ_DIST($A52,$B$3,C$5,FALSE)</f>
        <v>#NAME?</v>
      </c>
      <c r="D52" t="e">
        <f ca="1">NCHISQ_DIST($A52,$B$3,D$5,FALSE)</f>
        <v>#NAME?</v>
      </c>
      <c r="E52" t="e">
        <f ca="1">NCHISQ_DIST($A52,$B$3,E$5,FALSE)</f>
        <v>#NAME?</v>
      </c>
    </row>
    <row r="53" spans="1:5" x14ac:dyDescent="0.25">
      <c r="A53">
        <f t="shared" si="0"/>
        <v>13.500000000000011</v>
      </c>
      <c r="B53" t="e">
        <f ca="1">NCHISQ_DIST($A53,$B$3,B$5,FALSE)</f>
        <v>#NAME?</v>
      </c>
      <c r="C53" t="e">
        <f ca="1">NCHISQ_DIST($A53,$B$3,C$5,FALSE)</f>
        <v>#NAME?</v>
      </c>
      <c r="D53" t="e">
        <f ca="1">NCHISQ_DIST($A53,$B$3,D$5,FALSE)</f>
        <v>#NAME?</v>
      </c>
      <c r="E53" t="e">
        <f ca="1">NCHISQ_DIST($A53,$B$3,E$5,FALSE)</f>
        <v>#NAME?</v>
      </c>
    </row>
    <row r="54" spans="1:5" x14ac:dyDescent="0.25">
      <c r="A54">
        <f t="shared" si="0"/>
        <v>13.800000000000011</v>
      </c>
      <c r="B54" t="e">
        <f ca="1">NCHISQ_DIST($A54,$B$3,B$5,FALSE)</f>
        <v>#NAME?</v>
      </c>
      <c r="C54" t="e">
        <f ca="1">NCHISQ_DIST($A54,$B$3,C$5,FALSE)</f>
        <v>#NAME?</v>
      </c>
      <c r="D54" t="e">
        <f ca="1">NCHISQ_DIST($A54,$B$3,D$5,FALSE)</f>
        <v>#NAME?</v>
      </c>
      <c r="E54" t="e">
        <f ca="1">NCHISQ_DIST($A54,$B$3,E$5,FALSE)</f>
        <v>#NAME?</v>
      </c>
    </row>
    <row r="55" spans="1:5" x14ac:dyDescent="0.25">
      <c r="A55">
        <f t="shared" si="0"/>
        <v>14.100000000000012</v>
      </c>
      <c r="B55" t="e">
        <f ca="1">NCHISQ_DIST($A55,$B$3,B$5,FALSE)</f>
        <v>#NAME?</v>
      </c>
      <c r="C55" t="e">
        <f ca="1">NCHISQ_DIST($A55,$B$3,C$5,FALSE)</f>
        <v>#NAME?</v>
      </c>
      <c r="D55" t="e">
        <f ca="1">NCHISQ_DIST($A55,$B$3,D$5,FALSE)</f>
        <v>#NAME?</v>
      </c>
      <c r="E55" t="e">
        <f ca="1">NCHISQ_DIST($A55,$B$3,E$5,FALSE)</f>
        <v>#NAME?</v>
      </c>
    </row>
    <row r="56" spans="1:5" x14ac:dyDescent="0.25">
      <c r="A56">
        <f t="shared" si="0"/>
        <v>14.400000000000013</v>
      </c>
      <c r="B56" t="e">
        <f ca="1">NCHISQ_DIST($A56,$B$3,B$5,FALSE)</f>
        <v>#NAME?</v>
      </c>
      <c r="C56" t="e">
        <f ca="1">NCHISQ_DIST($A56,$B$3,C$5,FALSE)</f>
        <v>#NAME?</v>
      </c>
      <c r="D56" t="e">
        <f ca="1">NCHISQ_DIST($A56,$B$3,D$5,FALSE)</f>
        <v>#NAME?</v>
      </c>
      <c r="E56" t="e">
        <f ca="1">NCHISQ_DIST($A56,$B$3,E$5,FALSE)</f>
        <v>#NAME?</v>
      </c>
    </row>
    <row r="57" spans="1:5" x14ac:dyDescent="0.25">
      <c r="A57">
        <f t="shared" si="0"/>
        <v>14.700000000000014</v>
      </c>
      <c r="B57" t="e">
        <f ca="1">NCHISQ_DIST($A57,$B$3,B$5,FALSE)</f>
        <v>#NAME?</v>
      </c>
      <c r="C57" t="e">
        <f ca="1">NCHISQ_DIST($A57,$B$3,C$5,FALSE)</f>
        <v>#NAME?</v>
      </c>
      <c r="D57" t="e">
        <f ca="1">NCHISQ_DIST($A57,$B$3,D$5,FALSE)</f>
        <v>#NAME?</v>
      </c>
      <c r="E57" t="e">
        <f ca="1">NCHISQ_DIST($A57,$B$3,E$5,FALSE)</f>
        <v>#NAME?</v>
      </c>
    </row>
    <row r="58" spans="1:5" x14ac:dyDescent="0.25">
      <c r="A58">
        <f t="shared" si="0"/>
        <v>15.000000000000014</v>
      </c>
      <c r="B58" t="e">
        <f ca="1">NCHISQ_DIST($A58,$B$3,B$5,FALSE)</f>
        <v>#NAME?</v>
      </c>
      <c r="C58" t="e">
        <f ca="1">NCHISQ_DIST($A58,$B$3,C$5,FALSE)</f>
        <v>#NAME?</v>
      </c>
      <c r="D58" t="e">
        <f ca="1">NCHISQ_DIST($A58,$B$3,D$5,FALSE)</f>
        <v>#NAME?</v>
      </c>
      <c r="E58" t="e">
        <f ca="1">NCHISQ_DIST($A58,$B$3,E$5,FALSE)</f>
        <v>#NAME?</v>
      </c>
    </row>
    <row r="59" spans="1:5" x14ac:dyDescent="0.25">
      <c r="A59">
        <f t="shared" si="0"/>
        <v>15.300000000000015</v>
      </c>
      <c r="B59" t="e">
        <f ca="1">NCHISQ_DIST($A59,$B$3,B$5,FALSE)</f>
        <v>#NAME?</v>
      </c>
      <c r="C59" t="e">
        <f ca="1">NCHISQ_DIST($A59,$B$3,C$5,FALSE)</f>
        <v>#NAME?</v>
      </c>
      <c r="D59" t="e">
        <f ca="1">NCHISQ_DIST($A59,$B$3,D$5,FALSE)</f>
        <v>#NAME?</v>
      </c>
      <c r="E59" t="e">
        <f ca="1">NCHISQ_DIST($A59,$B$3,E$5,FALSE)</f>
        <v>#NAME?</v>
      </c>
    </row>
    <row r="60" spans="1:5" x14ac:dyDescent="0.25">
      <c r="A60">
        <f t="shared" si="0"/>
        <v>15.600000000000016</v>
      </c>
      <c r="B60" t="e">
        <f ca="1">NCHISQ_DIST($A60,$B$3,B$5,FALSE)</f>
        <v>#NAME?</v>
      </c>
      <c r="C60" t="e">
        <f ca="1">NCHISQ_DIST($A60,$B$3,C$5,FALSE)</f>
        <v>#NAME?</v>
      </c>
      <c r="D60" t="e">
        <f ca="1">NCHISQ_DIST($A60,$B$3,D$5,FALSE)</f>
        <v>#NAME?</v>
      </c>
      <c r="E60" t="e">
        <f ca="1">NCHISQ_DIST($A60,$B$3,E$5,FALSE)</f>
        <v>#NAME?</v>
      </c>
    </row>
    <row r="61" spans="1:5" x14ac:dyDescent="0.25">
      <c r="A61">
        <f t="shared" si="0"/>
        <v>15.900000000000016</v>
      </c>
      <c r="B61" t="e">
        <f ca="1">NCHISQ_DIST($A61,$B$3,B$5,FALSE)</f>
        <v>#NAME?</v>
      </c>
      <c r="C61" t="e">
        <f ca="1">NCHISQ_DIST($A61,$B$3,C$5,FALSE)</f>
        <v>#NAME?</v>
      </c>
      <c r="D61" t="e">
        <f ca="1">NCHISQ_DIST($A61,$B$3,D$5,FALSE)</f>
        <v>#NAME?</v>
      </c>
      <c r="E61" t="e">
        <f ca="1">NCHISQ_DIST($A61,$B$3,E$5,FALSE)</f>
        <v>#NAME?</v>
      </c>
    </row>
    <row r="62" spans="1:5" x14ac:dyDescent="0.25">
      <c r="A62">
        <f t="shared" si="0"/>
        <v>16.200000000000017</v>
      </c>
      <c r="B62" t="e">
        <f ca="1">NCHISQ_DIST($A62,$B$3,B$5,FALSE)</f>
        <v>#NAME?</v>
      </c>
      <c r="C62" t="e">
        <f ca="1">NCHISQ_DIST($A62,$B$3,C$5,FALSE)</f>
        <v>#NAME?</v>
      </c>
      <c r="D62" t="e">
        <f ca="1">NCHISQ_DIST($A62,$B$3,D$5,FALSE)</f>
        <v>#NAME?</v>
      </c>
      <c r="E62" t="e">
        <f ca="1">NCHISQ_DIST($A62,$B$3,E$5,FALSE)</f>
        <v>#NAME?</v>
      </c>
    </row>
    <row r="63" spans="1:5" x14ac:dyDescent="0.25">
      <c r="A63">
        <f t="shared" si="0"/>
        <v>16.500000000000018</v>
      </c>
      <c r="B63" t="e">
        <f ca="1">NCHISQ_DIST($A63,$B$3,B$5,FALSE)</f>
        <v>#NAME?</v>
      </c>
      <c r="C63" t="e">
        <f ca="1">NCHISQ_DIST($A63,$B$3,C$5,FALSE)</f>
        <v>#NAME?</v>
      </c>
      <c r="D63" t="e">
        <f ca="1">NCHISQ_DIST($A63,$B$3,D$5,FALSE)</f>
        <v>#NAME?</v>
      </c>
      <c r="E63" t="e">
        <f ca="1">NCHISQ_DIST($A63,$B$3,E$5,FALSE)</f>
        <v>#NAME?</v>
      </c>
    </row>
    <row r="64" spans="1:5" x14ac:dyDescent="0.25">
      <c r="A64">
        <f t="shared" si="0"/>
        <v>16.800000000000018</v>
      </c>
      <c r="B64" t="e">
        <f ca="1">NCHISQ_DIST($A64,$B$3,B$5,FALSE)</f>
        <v>#NAME?</v>
      </c>
      <c r="C64" t="e">
        <f ca="1">NCHISQ_DIST($A64,$B$3,C$5,FALSE)</f>
        <v>#NAME?</v>
      </c>
      <c r="D64" t="e">
        <f ca="1">NCHISQ_DIST($A64,$B$3,D$5,FALSE)</f>
        <v>#NAME?</v>
      </c>
      <c r="E64" t="e">
        <f ca="1">NCHISQ_DIST($A64,$B$3,E$5,FALSE)</f>
        <v>#NAME?</v>
      </c>
    </row>
    <row r="65" spans="1:5" x14ac:dyDescent="0.25">
      <c r="A65">
        <f t="shared" si="0"/>
        <v>17.100000000000019</v>
      </c>
      <c r="B65" t="e">
        <f ca="1">NCHISQ_DIST($A65,$B$3,B$5,FALSE)</f>
        <v>#NAME?</v>
      </c>
      <c r="C65" t="e">
        <f ca="1">NCHISQ_DIST($A65,$B$3,C$5,FALSE)</f>
        <v>#NAME?</v>
      </c>
      <c r="D65" t="e">
        <f ca="1">NCHISQ_DIST($A65,$B$3,D$5,FALSE)</f>
        <v>#NAME?</v>
      </c>
      <c r="E65" t="e">
        <f ca="1">NCHISQ_DIST($A65,$B$3,E$5,FALSE)</f>
        <v>#NAME?</v>
      </c>
    </row>
    <row r="66" spans="1:5" x14ac:dyDescent="0.25">
      <c r="A66">
        <f t="shared" si="0"/>
        <v>17.40000000000002</v>
      </c>
      <c r="B66" t="e">
        <f ca="1">NCHISQ_DIST($A66,$B$3,B$5,FALSE)</f>
        <v>#NAME?</v>
      </c>
      <c r="C66" t="e">
        <f ca="1">NCHISQ_DIST($A66,$B$3,C$5,FALSE)</f>
        <v>#NAME?</v>
      </c>
      <c r="D66" t="e">
        <f ca="1">NCHISQ_DIST($A66,$B$3,D$5,FALSE)</f>
        <v>#NAME?</v>
      </c>
      <c r="E66" t="e">
        <f ca="1">NCHISQ_DIST($A66,$B$3,E$5,FALSE)</f>
        <v>#NAME?</v>
      </c>
    </row>
    <row r="67" spans="1:5" x14ac:dyDescent="0.25">
      <c r="A67">
        <f t="shared" si="0"/>
        <v>17.700000000000021</v>
      </c>
      <c r="B67" t="e">
        <f ca="1">NCHISQ_DIST($A67,$B$3,B$5,FALSE)</f>
        <v>#NAME?</v>
      </c>
      <c r="C67" t="e">
        <f ca="1">NCHISQ_DIST($A67,$B$3,C$5,FALSE)</f>
        <v>#NAME?</v>
      </c>
      <c r="D67" t="e">
        <f ca="1">NCHISQ_DIST($A67,$B$3,D$5,FALSE)</f>
        <v>#NAME?</v>
      </c>
      <c r="E67" t="e">
        <f ca="1">NCHISQ_DIST($A67,$B$3,E$5,FALSE)</f>
        <v>#NAME?</v>
      </c>
    </row>
    <row r="68" spans="1:5" x14ac:dyDescent="0.25">
      <c r="A68">
        <f t="shared" si="0"/>
        <v>18.000000000000021</v>
      </c>
      <c r="B68" t="e">
        <f ca="1">NCHISQ_DIST($A68,$B$3,B$5,FALSE)</f>
        <v>#NAME?</v>
      </c>
      <c r="C68" t="e">
        <f ca="1">NCHISQ_DIST($A68,$B$3,C$5,FALSE)</f>
        <v>#NAME?</v>
      </c>
      <c r="D68" t="e">
        <f ca="1">NCHISQ_DIST($A68,$B$3,D$5,FALSE)</f>
        <v>#NAME?</v>
      </c>
      <c r="E68" t="e">
        <f ca="1">NCHISQ_DIST($A68,$B$3,E$5,FALSE)</f>
        <v>#NAME?</v>
      </c>
    </row>
    <row r="69" spans="1:5" x14ac:dyDescent="0.25">
      <c r="A69">
        <f t="shared" si="0"/>
        <v>18.300000000000022</v>
      </c>
      <c r="B69" t="e">
        <f ca="1">NCHISQ_DIST($A69,$B$3,B$5,FALSE)</f>
        <v>#NAME?</v>
      </c>
      <c r="C69" t="e">
        <f ca="1">NCHISQ_DIST($A69,$B$3,C$5,FALSE)</f>
        <v>#NAME?</v>
      </c>
      <c r="D69" t="e">
        <f ca="1">NCHISQ_DIST($A69,$B$3,D$5,FALSE)</f>
        <v>#NAME?</v>
      </c>
      <c r="E69" t="e">
        <f ca="1">NCHISQ_DIST($A69,$B$3,E$5,FALSE)</f>
        <v>#NAME?</v>
      </c>
    </row>
    <row r="70" spans="1:5" x14ac:dyDescent="0.25">
      <c r="A70">
        <f t="shared" si="0"/>
        <v>18.600000000000023</v>
      </c>
      <c r="B70" t="e">
        <f ca="1">NCHISQ_DIST($A70,$B$3,B$5,FALSE)</f>
        <v>#NAME?</v>
      </c>
      <c r="C70" t="e">
        <f ca="1">NCHISQ_DIST($A70,$B$3,C$5,FALSE)</f>
        <v>#NAME?</v>
      </c>
      <c r="D70" t="e">
        <f ca="1">NCHISQ_DIST($A70,$B$3,D$5,FALSE)</f>
        <v>#NAME?</v>
      </c>
      <c r="E70" t="e">
        <f ca="1">NCHISQ_DIST($A70,$B$3,E$5,FALSE)</f>
        <v>#NAME?</v>
      </c>
    </row>
    <row r="71" spans="1:5" x14ac:dyDescent="0.25">
      <c r="A71">
        <f t="shared" si="0"/>
        <v>18.900000000000023</v>
      </c>
      <c r="B71" t="e">
        <f ca="1">NCHISQ_DIST($A71,$B$3,B$5,FALSE)</f>
        <v>#NAME?</v>
      </c>
      <c r="C71" t="e">
        <f ca="1">NCHISQ_DIST($A71,$B$3,C$5,FALSE)</f>
        <v>#NAME?</v>
      </c>
      <c r="D71" t="e">
        <f ca="1">NCHISQ_DIST($A71,$B$3,D$5,FALSE)</f>
        <v>#NAME?</v>
      </c>
      <c r="E71" t="e">
        <f ca="1">NCHISQ_DIST($A71,$B$3,E$5,FALSE)</f>
        <v>#NAME?</v>
      </c>
    </row>
    <row r="72" spans="1:5" x14ac:dyDescent="0.25">
      <c r="A72">
        <f t="shared" si="0"/>
        <v>19.200000000000024</v>
      </c>
      <c r="B72" t="e">
        <f ca="1">NCHISQ_DIST($A72,$B$3,B$5,FALSE)</f>
        <v>#NAME?</v>
      </c>
      <c r="C72" t="e">
        <f ca="1">NCHISQ_DIST($A72,$B$3,C$5,FALSE)</f>
        <v>#NAME?</v>
      </c>
      <c r="D72" t="e">
        <f ca="1">NCHISQ_DIST($A72,$B$3,D$5,FALSE)</f>
        <v>#NAME?</v>
      </c>
      <c r="E72" t="e">
        <f ca="1">NCHISQ_DIST($A72,$B$3,E$5,FALSE)</f>
        <v>#NAME?</v>
      </c>
    </row>
    <row r="73" spans="1:5" x14ac:dyDescent="0.25">
      <c r="A73">
        <f t="shared" si="0"/>
        <v>19.500000000000025</v>
      </c>
      <c r="B73" t="e">
        <f ca="1">NCHISQ_DIST($A73,$B$3,B$5,FALSE)</f>
        <v>#NAME?</v>
      </c>
      <c r="C73" t="e">
        <f ca="1">NCHISQ_DIST($A73,$B$3,C$5,FALSE)</f>
        <v>#NAME?</v>
      </c>
      <c r="D73" t="e">
        <f ca="1">NCHISQ_DIST($A73,$B$3,D$5,FALSE)</f>
        <v>#NAME?</v>
      </c>
      <c r="E73" t="e">
        <f ca="1">NCHISQ_DIST($A73,$B$3,E$5,FALSE)</f>
        <v>#NAME?</v>
      </c>
    </row>
    <row r="74" spans="1:5" x14ac:dyDescent="0.25">
      <c r="A74">
        <f t="shared" ref="A74:A109" si="1">A73+0.3</f>
        <v>19.800000000000026</v>
      </c>
      <c r="B74" t="e">
        <f ca="1">NCHISQ_DIST($A74,$B$3,B$5,FALSE)</f>
        <v>#NAME?</v>
      </c>
      <c r="C74" t="e">
        <f ca="1">NCHISQ_DIST($A74,$B$3,C$5,FALSE)</f>
        <v>#NAME?</v>
      </c>
      <c r="D74" t="e">
        <f ca="1">NCHISQ_DIST($A74,$B$3,D$5,FALSE)</f>
        <v>#NAME?</v>
      </c>
      <c r="E74" t="e">
        <f ca="1">NCHISQ_DIST($A74,$B$3,E$5,FALSE)</f>
        <v>#NAME?</v>
      </c>
    </row>
    <row r="75" spans="1:5" x14ac:dyDescent="0.25">
      <c r="A75">
        <f t="shared" si="1"/>
        <v>20.100000000000026</v>
      </c>
      <c r="B75" t="e">
        <f ca="1">NCHISQ_DIST($A75,$B$3,B$5,FALSE)</f>
        <v>#NAME?</v>
      </c>
      <c r="C75" t="e">
        <f ca="1">NCHISQ_DIST($A75,$B$3,C$5,FALSE)</f>
        <v>#NAME?</v>
      </c>
      <c r="D75" t="e">
        <f ca="1">NCHISQ_DIST($A75,$B$3,D$5,FALSE)</f>
        <v>#NAME?</v>
      </c>
      <c r="E75" t="e">
        <f ca="1">NCHISQ_DIST($A75,$B$3,E$5,FALSE)</f>
        <v>#NAME?</v>
      </c>
    </row>
    <row r="76" spans="1:5" x14ac:dyDescent="0.25">
      <c r="A76">
        <f t="shared" si="1"/>
        <v>20.400000000000027</v>
      </c>
      <c r="B76" t="e">
        <f ca="1">NCHISQ_DIST($A76,$B$3,B$5,FALSE)</f>
        <v>#NAME?</v>
      </c>
      <c r="C76" t="e">
        <f ca="1">NCHISQ_DIST($A76,$B$3,C$5,FALSE)</f>
        <v>#NAME?</v>
      </c>
      <c r="D76" t="e">
        <f ca="1">NCHISQ_DIST($A76,$B$3,D$5,FALSE)</f>
        <v>#NAME?</v>
      </c>
      <c r="E76" t="e">
        <f ca="1">NCHISQ_DIST($A76,$B$3,E$5,FALSE)</f>
        <v>#NAME?</v>
      </c>
    </row>
    <row r="77" spans="1:5" x14ac:dyDescent="0.25">
      <c r="A77">
        <f t="shared" si="1"/>
        <v>20.700000000000028</v>
      </c>
      <c r="B77" t="e">
        <f ca="1">NCHISQ_DIST($A77,$B$3,B$5,FALSE)</f>
        <v>#NAME?</v>
      </c>
      <c r="C77" t="e">
        <f ca="1">NCHISQ_DIST($A77,$B$3,C$5,FALSE)</f>
        <v>#NAME?</v>
      </c>
      <c r="D77" t="e">
        <f ca="1">NCHISQ_DIST($A77,$B$3,D$5,FALSE)</f>
        <v>#NAME?</v>
      </c>
      <c r="E77" t="e">
        <f ca="1">NCHISQ_DIST($A77,$B$3,E$5,FALSE)</f>
        <v>#NAME?</v>
      </c>
    </row>
    <row r="78" spans="1:5" x14ac:dyDescent="0.25">
      <c r="A78">
        <f t="shared" si="1"/>
        <v>21.000000000000028</v>
      </c>
      <c r="B78" t="e">
        <f ca="1">NCHISQ_DIST($A78,$B$3,B$5,FALSE)</f>
        <v>#NAME?</v>
      </c>
      <c r="C78" t="e">
        <f ca="1">NCHISQ_DIST($A78,$B$3,C$5,FALSE)</f>
        <v>#NAME?</v>
      </c>
      <c r="D78" t="e">
        <f ca="1">NCHISQ_DIST($A78,$B$3,D$5,FALSE)</f>
        <v>#NAME?</v>
      </c>
      <c r="E78" t="e">
        <f ca="1">NCHISQ_DIST($A78,$B$3,E$5,FALSE)</f>
        <v>#NAME?</v>
      </c>
    </row>
    <row r="79" spans="1:5" x14ac:dyDescent="0.25">
      <c r="A79">
        <f t="shared" si="1"/>
        <v>21.300000000000029</v>
      </c>
      <c r="B79" t="e">
        <f ca="1">NCHISQ_DIST($A79,$B$3,B$5,FALSE)</f>
        <v>#NAME?</v>
      </c>
      <c r="C79" t="e">
        <f ca="1">NCHISQ_DIST($A79,$B$3,C$5,FALSE)</f>
        <v>#NAME?</v>
      </c>
      <c r="D79" t="e">
        <f ca="1">NCHISQ_DIST($A79,$B$3,D$5,FALSE)</f>
        <v>#NAME?</v>
      </c>
      <c r="E79" t="e">
        <f ca="1">NCHISQ_DIST($A79,$B$3,E$5,FALSE)</f>
        <v>#NAME?</v>
      </c>
    </row>
    <row r="80" spans="1:5" x14ac:dyDescent="0.25">
      <c r="A80">
        <f t="shared" si="1"/>
        <v>21.60000000000003</v>
      </c>
      <c r="B80" t="e">
        <f ca="1">NCHISQ_DIST($A80,$B$3,B$5,FALSE)</f>
        <v>#NAME?</v>
      </c>
      <c r="C80" t="e">
        <f ca="1">NCHISQ_DIST($A80,$B$3,C$5,FALSE)</f>
        <v>#NAME?</v>
      </c>
      <c r="D80" t="e">
        <f ca="1">NCHISQ_DIST($A80,$B$3,D$5,FALSE)</f>
        <v>#NAME?</v>
      </c>
      <c r="E80" t="e">
        <f ca="1">NCHISQ_DIST($A80,$B$3,E$5,FALSE)</f>
        <v>#NAME?</v>
      </c>
    </row>
    <row r="81" spans="1:5" x14ac:dyDescent="0.25">
      <c r="A81">
        <f t="shared" si="1"/>
        <v>21.900000000000031</v>
      </c>
      <c r="B81" t="e">
        <f ca="1">NCHISQ_DIST($A81,$B$3,B$5,FALSE)</f>
        <v>#NAME?</v>
      </c>
      <c r="C81" t="e">
        <f ca="1">NCHISQ_DIST($A81,$B$3,C$5,FALSE)</f>
        <v>#NAME?</v>
      </c>
      <c r="D81" t="e">
        <f ca="1">NCHISQ_DIST($A81,$B$3,D$5,FALSE)</f>
        <v>#NAME?</v>
      </c>
      <c r="E81" t="e">
        <f ca="1">NCHISQ_DIST($A81,$B$3,E$5,FALSE)</f>
        <v>#NAME?</v>
      </c>
    </row>
    <row r="82" spans="1:5" x14ac:dyDescent="0.25">
      <c r="A82">
        <f t="shared" si="1"/>
        <v>22.200000000000031</v>
      </c>
      <c r="B82" t="e">
        <f ca="1">NCHISQ_DIST($A82,$B$3,B$5,FALSE)</f>
        <v>#NAME?</v>
      </c>
      <c r="C82" t="e">
        <f ca="1">NCHISQ_DIST($A82,$B$3,C$5,FALSE)</f>
        <v>#NAME?</v>
      </c>
      <c r="D82" t="e">
        <f ca="1">NCHISQ_DIST($A82,$B$3,D$5,FALSE)</f>
        <v>#NAME?</v>
      </c>
      <c r="E82" t="e">
        <f ca="1">NCHISQ_DIST($A82,$B$3,E$5,FALSE)</f>
        <v>#NAME?</v>
      </c>
    </row>
    <row r="83" spans="1:5" x14ac:dyDescent="0.25">
      <c r="A83">
        <f t="shared" si="1"/>
        <v>22.500000000000032</v>
      </c>
      <c r="B83" t="e">
        <f ca="1">NCHISQ_DIST($A83,$B$3,B$5,FALSE)</f>
        <v>#NAME?</v>
      </c>
      <c r="C83" t="e">
        <f ca="1">NCHISQ_DIST($A83,$B$3,C$5,FALSE)</f>
        <v>#NAME?</v>
      </c>
      <c r="D83" t="e">
        <f ca="1">NCHISQ_DIST($A83,$B$3,D$5,FALSE)</f>
        <v>#NAME?</v>
      </c>
      <c r="E83" t="e">
        <f ca="1">NCHISQ_DIST($A83,$B$3,E$5,FALSE)</f>
        <v>#NAME?</v>
      </c>
    </row>
    <row r="84" spans="1:5" x14ac:dyDescent="0.25">
      <c r="A84">
        <f t="shared" si="1"/>
        <v>22.800000000000033</v>
      </c>
      <c r="B84" t="e">
        <f ca="1">NCHISQ_DIST($A84,$B$3,B$5,FALSE)</f>
        <v>#NAME?</v>
      </c>
      <c r="C84" t="e">
        <f ca="1">NCHISQ_DIST($A84,$B$3,C$5,FALSE)</f>
        <v>#NAME?</v>
      </c>
      <c r="D84" t="e">
        <f ca="1">NCHISQ_DIST($A84,$B$3,D$5,FALSE)</f>
        <v>#NAME?</v>
      </c>
      <c r="E84" t="e">
        <f ca="1">NCHISQ_DIST($A84,$B$3,E$5,FALSE)</f>
        <v>#NAME?</v>
      </c>
    </row>
    <row r="85" spans="1:5" x14ac:dyDescent="0.25">
      <c r="A85">
        <f t="shared" si="1"/>
        <v>23.100000000000033</v>
      </c>
      <c r="B85" t="e">
        <f ca="1">NCHISQ_DIST($A85,$B$3,B$5,FALSE)</f>
        <v>#NAME?</v>
      </c>
      <c r="C85" t="e">
        <f ca="1">NCHISQ_DIST($A85,$B$3,C$5,FALSE)</f>
        <v>#NAME?</v>
      </c>
      <c r="D85" t="e">
        <f ca="1">NCHISQ_DIST($A85,$B$3,D$5,FALSE)</f>
        <v>#NAME?</v>
      </c>
      <c r="E85" t="e">
        <f ca="1">NCHISQ_DIST($A85,$B$3,E$5,FALSE)</f>
        <v>#NAME?</v>
      </c>
    </row>
    <row r="86" spans="1:5" x14ac:dyDescent="0.25">
      <c r="A86">
        <f t="shared" si="1"/>
        <v>23.400000000000034</v>
      </c>
      <c r="B86" t="e">
        <f ca="1">NCHISQ_DIST($A86,$B$3,B$5,FALSE)</f>
        <v>#NAME?</v>
      </c>
      <c r="C86" t="e">
        <f ca="1">NCHISQ_DIST($A86,$B$3,C$5,FALSE)</f>
        <v>#NAME?</v>
      </c>
      <c r="D86" t="e">
        <f ca="1">NCHISQ_DIST($A86,$B$3,D$5,FALSE)</f>
        <v>#NAME?</v>
      </c>
      <c r="E86" t="e">
        <f ca="1">NCHISQ_DIST($A86,$B$3,E$5,FALSE)</f>
        <v>#NAME?</v>
      </c>
    </row>
    <row r="87" spans="1:5" x14ac:dyDescent="0.25">
      <c r="A87">
        <f t="shared" si="1"/>
        <v>23.700000000000035</v>
      </c>
      <c r="B87" t="e">
        <f ca="1">NCHISQ_DIST($A87,$B$3,B$5,FALSE)</f>
        <v>#NAME?</v>
      </c>
      <c r="C87" t="e">
        <f ca="1">NCHISQ_DIST($A87,$B$3,C$5,FALSE)</f>
        <v>#NAME?</v>
      </c>
      <c r="D87" t="e">
        <f ca="1">NCHISQ_DIST($A87,$B$3,D$5,FALSE)</f>
        <v>#NAME?</v>
      </c>
      <c r="E87" t="e">
        <f ca="1">NCHISQ_DIST($A87,$B$3,E$5,FALSE)</f>
        <v>#NAME?</v>
      </c>
    </row>
    <row r="88" spans="1:5" x14ac:dyDescent="0.25">
      <c r="A88">
        <f t="shared" si="1"/>
        <v>24.000000000000036</v>
      </c>
      <c r="B88" t="e">
        <f ca="1">NCHISQ_DIST($A88,$B$3,B$5,FALSE)</f>
        <v>#NAME?</v>
      </c>
      <c r="C88" t="e">
        <f ca="1">NCHISQ_DIST($A88,$B$3,C$5,FALSE)</f>
        <v>#NAME?</v>
      </c>
      <c r="D88" t="e">
        <f ca="1">NCHISQ_DIST($A88,$B$3,D$5,FALSE)</f>
        <v>#NAME?</v>
      </c>
      <c r="E88" t="e">
        <f ca="1">NCHISQ_DIST($A88,$B$3,E$5,FALSE)</f>
        <v>#NAME?</v>
      </c>
    </row>
    <row r="89" spans="1:5" x14ac:dyDescent="0.25">
      <c r="A89">
        <f t="shared" si="1"/>
        <v>24.300000000000036</v>
      </c>
      <c r="B89" t="e">
        <f ca="1">NCHISQ_DIST($A89,$B$3,B$5,FALSE)</f>
        <v>#NAME?</v>
      </c>
      <c r="C89" t="e">
        <f ca="1">NCHISQ_DIST($A89,$B$3,C$5,FALSE)</f>
        <v>#NAME?</v>
      </c>
      <c r="D89" t="e">
        <f ca="1">NCHISQ_DIST($A89,$B$3,D$5,FALSE)</f>
        <v>#NAME?</v>
      </c>
      <c r="E89" t="e">
        <f ca="1">NCHISQ_DIST($A89,$B$3,E$5,FALSE)</f>
        <v>#NAME?</v>
      </c>
    </row>
    <row r="90" spans="1:5" x14ac:dyDescent="0.25">
      <c r="A90">
        <f t="shared" si="1"/>
        <v>24.600000000000037</v>
      </c>
      <c r="B90" t="e">
        <f ca="1">NCHISQ_DIST($A90,$B$3,B$5,FALSE)</f>
        <v>#NAME?</v>
      </c>
      <c r="C90" t="e">
        <f ca="1">NCHISQ_DIST($A90,$B$3,C$5,FALSE)</f>
        <v>#NAME?</v>
      </c>
      <c r="D90" t="e">
        <f ca="1">NCHISQ_DIST($A90,$B$3,D$5,FALSE)</f>
        <v>#NAME?</v>
      </c>
      <c r="E90" t="e">
        <f ca="1">NCHISQ_DIST($A90,$B$3,E$5,FALSE)</f>
        <v>#NAME?</v>
      </c>
    </row>
    <row r="91" spans="1:5" x14ac:dyDescent="0.25">
      <c r="A91">
        <f t="shared" si="1"/>
        <v>24.900000000000038</v>
      </c>
      <c r="B91" t="e">
        <f ca="1">NCHISQ_DIST($A91,$B$3,B$5,FALSE)</f>
        <v>#NAME?</v>
      </c>
      <c r="C91" t="e">
        <f ca="1">NCHISQ_DIST($A91,$B$3,C$5,FALSE)</f>
        <v>#NAME?</v>
      </c>
      <c r="D91" t="e">
        <f ca="1">NCHISQ_DIST($A91,$B$3,D$5,FALSE)</f>
        <v>#NAME?</v>
      </c>
      <c r="E91" t="e">
        <f ca="1">NCHISQ_DIST($A91,$B$3,E$5,FALSE)</f>
        <v>#NAME?</v>
      </c>
    </row>
    <row r="92" spans="1:5" x14ac:dyDescent="0.25">
      <c r="A92">
        <f t="shared" si="1"/>
        <v>25.200000000000038</v>
      </c>
      <c r="B92" t="e">
        <f ca="1">NCHISQ_DIST($A92,$B$3,B$5,FALSE)</f>
        <v>#NAME?</v>
      </c>
      <c r="C92" t="e">
        <f ca="1">NCHISQ_DIST($A92,$B$3,C$5,FALSE)</f>
        <v>#NAME?</v>
      </c>
      <c r="D92" t="e">
        <f ca="1">NCHISQ_DIST($A92,$B$3,D$5,FALSE)</f>
        <v>#NAME?</v>
      </c>
      <c r="E92" t="e">
        <f ca="1">NCHISQ_DIST($A92,$B$3,E$5,FALSE)</f>
        <v>#NAME?</v>
      </c>
    </row>
    <row r="93" spans="1:5" x14ac:dyDescent="0.25">
      <c r="A93">
        <f t="shared" si="1"/>
        <v>25.500000000000039</v>
      </c>
      <c r="B93" t="e">
        <f ca="1">NCHISQ_DIST($A93,$B$3,B$5,FALSE)</f>
        <v>#NAME?</v>
      </c>
      <c r="C93" t="e">
        <f ca="1">NCHISQ_DIST($A93,$B$3,C$5,FALSE)</f>
        <v>#NAME?</v>
      </c>
      <c r="D93" t="e">
        <f ca="1">NCHISQ_DIST($A93,$B$3,D$5,FALSE)</f>
        <v>#NAME?</v>
      </c>
      <c r="E93" t="e">
        <f ca="1">NCHISQ_DIST($A93,$B$3,E$5,FALSE)</f>
        <v>#NAME?</v>
      </c>
    </row>
    <row r="94" spans="1:5" x14ac:dyDescent="0.25">
      <c r="A94">
        <f t="shared" si="1"/>
        <v>25.80000000000004</v>
      </c>
      <c r="B94" t="e">
        <f ca="1">NCHISQ_DIST($A94,$B$3,B$5,FALSE)</f>
        <v>#NAME?</v>
      </c>
      <c r="C94" t="e">
        <f ca="1">NCHISQ_DIST($A94,$B$3,C$5,FALSE)</f>
        <v>#NAME?</v>
      </c>
      <c r="D94" t="e">
        <f ca="1">NCHISQ_DIST($A94,$B$3,D$5,FALSE)</f>
        <v>#NAME?</v>
      </c>
      <c r="E94" t="e">
        <f ca="1">NCHISQ_DIST($A94,$B$3,E$5,FALSE)</f>
        <v>#NAME?</v>
      </c>
    </row>
    <row r="95" spans="1:5" x14ac:dyDescent="0.25">
      <c r="A95">
        <f t="shared" si="1"/>
        <v>26.100000000000041</v>
      </c>
      <c r="B95" t="e">
        <f ca="1">NCHISQ_DIST($A95,$B$3,B$5,FALSE)</f>
        <v>#NAME?</v>
      </c>
      <c r="C95" t="e">
        <f ca="1">NCHISQ_DIST($A95,$B$3,C$5,FALSE)</f>
        <v>#NAME?</v>
      </c>
      <c r="D95" t="e">
        <f ca="1">NCHISQ_DIST($A95,$B$3,D$5,FALSE)</f>
        <v>#NAME?</v>
      </c>
      <c r="E95" t="e">
        <f ca="1">NCHISQ_DIST($A95,$B$3,E$5,FALSE)</f>
        <v>#NAME?</v>
      </c>
    </row>
    <row r="96" spans="1:5" x14ac:dyDescent="0.25">
      <c r="A96">
        <f t="shared" si="1"/>
        <v>26.400000000000041</v>
      </c>
      <c r="B96" t="e">
        <f ca="1">NCHISQ_DIST($A96,$B$3,B$5,FALSE)</f>
        <v>#NAME?</v>
      </c>
      <c r="C96" t="e">
        <f ca="1">NCHISQ_DIST($A96,$B$3,C$5,FALSE)</f>
        <v>#NAME?</v>
      </c>
      <c r="D96" t="e">
        <f ca="1">NCHISQ_DIST($A96,$B$3,D$5,FALSE)</f>
        <v>#NAME?</v>
      </c>
      <c r="E96" t="e">
        <f ca="1">NCHISQ_DIST($A96,$B$3,E$5,FALSE)</f>
        <v>#NAME?</v>
      </c>
    </row>
    <row r="97" spans="1:5" x14ac:dyDescent="0.25">
      <c r="A97">
        <f t="shared" si="1"/>
        <v>26.700000000000042</v>
      </c>
      <c r="B97" t="e">
        <f ca="1">NCHISQ_DIST($A97,$B$3,B$5,FALSE)</f>
        <v>#NAME?</v>
      </c>
      <c r="C97" t="e">
        <f ca="1">NCHISQ_DIST($A97,$B$3,C$5,FALSE)</f>
        <v>#NAME?</v>
      </c>
      <c r="D97" t="e">
        <f ca="1">NCHISQ_DIST($A97,$B$3,D$5,FALSE)</f>
        <v>#NAME?</v>
      </c>
      <c r="E97" t="e">
        <f ca="1">NCHISQ_DIST($A97,$B$3,E$5,FALSE)</f>
        <v>#NAME?</v>
      </c>
    </row>
    <row r="98" spans="1:5" x14ac:dyDescent="0.25">
      <c r="A98">
        <f t="shared" si="1"/>
        <v>27.000000000000043</v>
      </c>
      <c r="B98" t="e">
        <f ca="1">NCHISQ_DIST($A98,$B$3,B$5,FALSE)</f>
        <v>#NAME?</v>
      </c>
      <c r="C98" t="e">
        <f ca="1">NCHISQ_DIST($A98,$B$3,C$5,FALSE)</f>
        <v>#NAME?</v>
      </c>
      <c r="D98" t="e">
        <f ca="1">NCHISQ_DIST($A98,$B$3,D$5,FALSE)</f>
        <v>#NAME?</v>
      </c>
      <c r="E98" t="e">
        <f ca="1">NCHISQ_DIST($A98,$B$3,E$5,FALSE)</f>
        <v>#NAME?</v>
      </c>
    </row>
    <row r="99" spans="1:5" x14ac:dyDescent="0.25">
      <c r="A99">
        <f t="shared" si="1"/>
        <v>27.300000000000043</v>
      </c>
      <c r="B99" t="e">
        <f ca="1">NCHISQ_DIST($A99,$B$3,B$5,FALSE)</f>
        <v>#NAME?</v>
      </c>
      <c r="C99" t="e">
        <f ca="1">NCHISQ_DIST($A99,$B$3,C$5,FALSE)</f>
        <v>#NAME?</v>
      </c>
      <c r="D99" t="e">
        <f ca="1">NCHISQ_DIST($A99,$B$3,D$5,FALSE)</f>
        <v>#NAME?</v>
      </c>
      <c r="E99" t="e">
        <f ca="1">NCHISQ_DIST($A99,$B$3,E$5,FALSE)</f>
        <v>#NAME?</v>
      </c>
    </row>
    <row r="100" spans="1:5" x14ac:dyDescent="0.25">
      <c r="A100">
        <f t="shared" si="1"/>
        <v>27.600000000000044</v>
      </c>
      <c r="B100" t="e">
        <f ca="1">NCHISQ_DIST($A100,$B$3,B$5,FALSE)</f>
        <v>#NAME?</v>
      </c>
      <c r="C100" t="e">
        <f ca="1">NCHISQ_DIST($A100,$B$3,C$5,FALSE)</f>
        <v>#NAME?</v>
      </c>
      <c r="D100" t="e">
        <f ca="1">NCHISQ_DIST($A100,$B$3,D$5,FALSE)</f>
        <v>#NAME?</v>
      </c>
      <c r="E100" t="e">
        <f ca="1">NCHISQ_DIST($A100,$B$3,E$5,FALSE)</f>
        <v>#NAME?</v>
      </c>
    </row>
    <row r="101" spans="1:5" x14ac:dyDescent="0.25">
      <c r="A101">
        <f t="shared" si="1"/>
        <v>27.900000000000045</v>
      </c>
      <c r="B101" t="e">
        <f ca="1">NCHISQ_DIST($A101,$B$3,B$5,FALSE)</f>
        <v>#NAME?</v>
      </c>
      <c r="C101" t="e">
        <f ca="1">NCHISQ_DIST($A101,$B$3,C$5,FALSE)</f>
        <v>#NAME?</v>
      </c>
      <c r="D101" t="e">
        <f ca="1">NCHISQ_DIST($A101,$B$3,D$5,FALSE)</f>
        <v>#NAME?</v>
      </c>
      <c r="E101" t="e">
        <f ca="1">NCHISQ_DIST($A101,$B$3,E$5,FALSE)</f>
        <v>#NAME?</v>
      </c>
    </row>
    <row r="102" spans="1:5" x14ac:dyDescent="0.25">
      <c r="A102">
        <f t="shared" si="1"/>
        <v>28.200000000000045</v>
      </c>
      <c r="B102" t="e">
        <f ca="1">NCHISQ_DIST($A102,$B$3,B$5,FALSE)</f>
        <v>#NAME?</v>
      </c>
      <c r="C102" t="e">
        <f ca="1">NCHISQ_DIST($A102,$B$3,C$5,FALSE)</f>
        <v>#NAME?</v>
      </c>
      <c r="D102" t="e">
        <f ca="1">NCHISQ_DIST($A102,$B$3,D$5,FALSE)</f>
        <v>#NAME?</v>
      </c>
      <c r="E102" t="e">
        <f ca="1">NCHISQ_DIST($A102,$B$3,E$5,FALSE)</f>
        <v>#NAME?</v>
      </c>
    </row>
    <row r="103" spans="1:5" x14ac:dyDescent="0.25">
      <c r="A103">
        <f t="shared" si="1"/>
        <v>28.500000000000046</v>
      </c>
      <c r="B103" t="e">
        <f ca="1">NCHISQ_DIST($A103,$B$3,B$5,FALSE)</f>
        <v>#NAME?</v>
      </c>
      <c r="C103" t="e">
        <f ca="1">NCHISQ_DIST($A103,$B$3,C$5,FALSE)</f>
        <v>#NAME?</v>
      </c>
      <c r="D103" t="e">
        <f ca="1">NCHISQ_DIST($A103,$B$3,D$5,FALSE)</f>
        <v>#NAME?</v>
      </c>
      <c r="E103" t="e">
        <f ca="1">NCHISQ_DIST($A103,$B$3,E$5,FALSE)</f>
        <v>#NAME?</v>
      </c>
    </row>
    <row r="104" spans="1:5" x14ac:dyDescent="0.25">
      <c r="A104">
        <f t="shared" si="1"/>
        <v>28.800000000000047</v>
      </c>
      <c r="B104" t="e">
        <f ca="1">NCHISQ_DIST($A104,$B$3,B$5,FALSE)</f>
        <v>#NAME?</v>
      </c>
      <c r="C104" t="e">
        <f ca="1">NCHISQ_DIST($A104,$B$3,C$5,FALSE)</f>
        <v>#NAME?</v>
      </c>
      <c r="D104" t="e">
        <f ca="1">NCHISQ_DIST($A104,$B$3,D$5,FALSE)</f>
        <v>#NAME?</v>
      </c>
      <c r="E104" t="e">
        <f ca="1">NCHISQ_DIST($A104,$B$3,E$5,FALSE)</f>
        <v>#NAME?</v>
      </c>
    </row>
    <row r="105" spans="1:5" x14ac:dyDescent="0.25">
      <c r="A105">
        <f t="shared" si="1"/>
        <v>29.100000000000048</v>
      </c>
      <c r="B105" t="e">
        <f ca="1">NCHISQ_DIST($A105,$B$3,B$5,FALSE)</f>
        <v>#NAME?</v>
      </c>
      <c r="C105" t="e">
        <f ca="1">NCHISQ_DIST($A105,$B$3,C$5,FALSE)</f>
        <v>#NAME?</v>
      </c>
      <c r="D105" t="e">
        <f ca="1">NCHISQ_DIST($A105,$B$3,D$5,FALSE)</f>
        <v>#NAME?</v>
      </c>
      <c r="E105" t="e">
        <f ca="1">NCHISQ_DIST($A105,$B$3,E$5,FALSE)</f>
        <v>#NAME?</v>
      </c>
    </row>
    <row r="106" spans="1:5" x14ac:dyDescent="0.25">
      <c r="A106">
        <f t="shared" si="1"/>
        <v>29.400000000000048</v>
      </c>
      <c r="B106" t="e">
        <f ca="1">NCHISQ_DIST($A106,$B$3,B$5,FALSE)</f>
        <v>#NAME?</v>
      </c>
      <c r="C106" t="e">
        <f ca="1">NCHISQ_DIST($A106,$B$3,C$5,FALSE)</f>
        <v>#NAME?</v>
      </c>
      <c r="D106" t="e">
        <f ca="1">NCHISQ_DIST($A106,$B$3,D$5,FALSE)</f>
        <v>#NAME?</v>
      </c>
      <c r="E106" t="e">
        <f ca="1">NCHISQ_DIST($A106,$B$3,E$5,FALSE)</f>
        <v>#NAME?</v>
      </c>
    </row>
    <row r="107" spans="1:5" x14ac:dyDescent="0.25">
      <c r="A107">
        <f t="shared" si="1"/>
        <v>29.700000000000049</v>
      </c>
      <c r="B107" t="e">
        <f ca="1">NCHISQ_DIST($A107,$B$3,B$5,FALSE)</f>
        <v>#NAME?</v>
      </c>
      <c r="C107" t="e">
        <f ca="1">NCHISQ_DIST($A107,$B$3,C$5,FALSE)</f>
        <v>#NAME?</v>
      </c>
      <c r="D107" t="e">
        <f ca="1">NCHISQ_DIST($A107,$B$3,D$5,FALSE)</f>
        <v>#NAME?</v>
      </c>
      <c r="E107" t="e">
        <f ca="1">NCHISQ_DIST($A107,$B$3,E$5,FALSE)</f>
        <v>#NAME?</v>
      </c>
    </row>
    <row r="108" spans="1:5" x14ac:dyDescent="0.25">
      <c r="A108">
        <f t="shared" si="1"/>
        <v>30.00000000000005</v>
      </c>
      <c r="B108" t="e">
        <f ca="1">NCHISQ_DIST($A108,$B$3,B$5,FALSE)</f>
        <v>#NAME?</v>
      </c>
      <c r="C108" t="e">
        <f ca="1">NCHISQ_DIST($A108,$B$3,C$5,FALSE)</f>
        <v>#NAME?</v>
      </c>
      <c r="D108" t="e">
        <f ca="1">NCHISQ_DIST($A108,$B$3,D$5,FALSE)</f>
        <v>#NAME?</v>
      </c>
      <c r="E108" t="e">
        <f ca="1">NCHISQ_DIST($A108,$B$3,E$5,FALSE)</f>
        <v>#NAME?</v>
      </c>
    </row>
    <row r="109" spans="1:5" x14ac:dyDescent="0.25">
      <c r="A109">
        <f t="shared" si="1"/>
        <v>30.30000000000005</v>
      </c>
      <c r="B109" t="e">
        <f ca="1">NCHISQ_DIST($A109,$B$3,B$5,FALSE)</f>
        <v>#NAME?</v>
      </c>
      <c r="C109" t="e">
        <f ca="1">NCHISQ_DIST($A109,$B$3,C$5,FALSE)</f>
        <v>#NAME?</v>
      </c>
      <c r="D109" t="e">
        <f ca="1">NCHISQ_DIST($A109,$B$3,D$5,FALSE)</f>
        <v>#NAME?</v>
      </c>
      <c r="E109" t="e">
        <f ca="1">NCHISQ_DIST($A109,$B$3,E$5,FALSE)</f>
        <v>#NAME?</v>
      </c>
    </row>
  </sheetData>
  <pageMargins left="0.7" right="0.7" top="0.75" bottom="0.75" header="0.3" footer="0.3"/>
  <drawing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6"/>
  <dimension ref="A1:N23"/>
  <sheetViews>
    <sheetView workbookViewId="0">
      <selection activeCell="O23" sqref="O23"/>
    </sheetView>
  </sheetViews>
  <sheetFormatPr defaultRowHeight="15" x14ac:dyDescent="0.25"/>
  <cols>
    <col min="3" max="3" width="3.85546875" customWidth="1"/>
    <col min="4" max="4" width="28.85546875" customWidth="1"/>
    <col min="7" max="7" width="11" bestFit="1" customWidth="1"/>
    <col min="8" max="8" width="4.140625" customWidth="1"/>
    <col min="9" max="9" width="27" customWidth="1"/>
    <col min="11" max="11" width="11.28515625" customWidth="1"/>
    <col min="12" max="12" width="12" bestFit="1" customWidth="1"/>
    <col min="13" max="13" width="3.140625" customWidth="1"/>
    <col min="14" max="14" width="27.28515625" customWidth="1"/>
  </cols>
  <sheetData>
    <row r="1" spans="1:14" x14ac:dyDescent="0.25">
      <c r="A1" s="1" t="s">
        <v>910</v>
      </c>
      <c r="F1" s="1" t="s">
        <v>913</v>
      </c>
      <c r="K1" s="339" t="s">
        <v>1222</v>
      </c>
      <c r="M1" s="450"/>
      <c r="N1" s="450"/>
    </row>
    <row r="2" spans="1:14" x14ac:dyDescent="0.25">
      <c r="A2" s="1"/>
    </row>
    <row r="3" spans="1:14" x14ac:dyDescent="0.25">
      <c r="A3" t="s">
        <v>140</v>
      </c>
      <c r="B3" s="45">
        <v>0.05</v>
      </c>
      <c r="F3" t="s">
        <v>140</v>
      </c>
      <c r="G3" s="315">
        <v>0.05</v>
      </c>
      <c r="K3" s="53" t="s">
        <v>271</v>
      </c>
      <c r="L3" s="439">
        <v>30</v>
      </c>
    </row>
    <row r="4" spans="1:14" x14ac:dyDescent="0.25">
      <c r="A4" t="s">
        <v>105</v>
      </c>
      <c r="B4" s="163">
        <v>55</v>
      </c>
      <c r="F4" t="s">
        <v>911</v>
      </c>
      <c r="G4" s="163">
        <v>3</v>
      </c>
      <c r="K4" s="146" t="s">
        <v>168</v>
      </c>
      <c r="L4" s="163">
        <v>4</v>
      </c>
    </row>
    <row r="5" spans="1:14" x14ac:dyDescent="0.25">
      <c r="A5" t="s">
        <v>151</v>
      </c>
      <c r="B5" s="163">
        <v>8</v>
      </c>
      <c r="F5" t="s">
        <v>912</v>
      </c>
      <c r="G5" s="163">
        <v>3</v>
      </c>
      <c r="K5" t="s">
        <v>105</v>
      </c>
      <c r="L5" s="163">
        <v>500</v>
      </c>
    </row>
    <row r="6" spans="1:14" x14ac:dyDescent="0.25">
      <c r="A6" t="s">
        <v>168</v>
      </c>
      <c r="B6" s="163">
        <f>B5-1</f>
        <v>7</v>
      </c>
      <c r="D6" t="e">
        <f ca="1">FTEXT(B6)</f>
        <v>#NAME?</v>
      </c>
      <c r="F6" t="s">
        <v>168</v>
      </c>
      <c r="G6" s="163">
        <f>(G4-1)*(G5-1)</f>
        <v>4</v>
      </c>
      <c r="I6" s="22" t="s">
        <v>914</v>
      </c>
      <c r="K6" t="s">
        <v>262</v>
      </c>
      <c r="L6" s="439">
        <v>0.05</v>
      </c>
    </row>
    <row r="7" spans="1:14" x14ac:dyDescent="0.25">
      <c r="A7" s="53" t="s">
        <v>272</v>
      </c>
      <c r="B7" s="155">
        <f>CHIINV(B3,B6)</f>
        <v>14.067140449340167</v>
      </c>
      <c r="D7" s="22" t="s">
        <v>1734</v>
      </c>
      <c r="F7" s="53" t="s">
        <v>755</v>
      </c>
      <c r="G7" s="155">
        <v>0.3</v>
      </c>
      <c r="K7" s="408" t="s">
        <v>422</v>
      </c>
      <c r="L7" s="163">
        <f>L3</f>
        <v>30</v>
      </c>
      <c r="N7" t="e">
        <f ca="1">FTEXT(L7)</f>
        <v>#NAME?</v>
      </c>
    </row>
    <row r="8" spans="1:14" x14ac:dyDescent="0.25">
      <c r="D8" t="s">
        <v>567</v>
      </c>
      <c r="K8" s="408" t="s">
        <v>1225</v>
      </c>
      <c r="L8" s="163" t="e">
        <f ca="1">NCHISQ_NCP(1-L6/2,L4,L3)</f>
        <v>#NAME?</v>
      </c>
      <c r="N8" t="e">
        <f ca="1">FTEXT(L8)</f>
        <v>#NAME?</v>
      </c>
    </row>
    <row r="9" spans="1:14" x14ac:dyDescent="0.25">
      <c r="A9" s="53" t="s">
        <v>271</v>
      </c>
      <c r="B9" s="315">
        <v>3.6372244053728013</v>
      </c>
      <c r="F9" s="53" t="s">
        <v>105</v>
      </c>
      <c r="G9" s="315">
        <v>132.60310836704829</v>
      </c>
      <c r="K9" s="408" t="s">
        <v>1226</v>
      </c>
      <c r="L9" s="155" t="e">
        <f ca="1">NCHISQ_NCP(L6/2,L4,L3)</f>
        <v>#NAME?</v>
      </c>
      <c r="N9" t="e">
        <f ca="1">FTEXT(L9)</f>
        <v>#NAME?</v>
      </c>
    </row>
    <row r="10" spans="1:14" x14ac:dyDescent="0.25">
      <c r="A10" s="147" t="s">
        <v>755</v>
      </c>
      <c r="B10" s="163">
        <f>SQRT(B9/B4)</f>
        <v>0.25716016959272681</v>
      </c>
      <c r="D10" t="e">
        <f ca="1">FTEXT(B10)</f>
        <v>#NAME?</v>
      </c>
      <c r="F10" s="147" t="s">
        <v>843</v>
      </c>
      <c r="G10" s="340" t="e">
        <f ca="1">CHISQ_POWER(G7,G9,G6)</f>
        <v>#NAME?</v>
      </c>
      <c r="I10" s="22" t="s">
        <v>915</v>
      </c>
      <c r="K10" s="408" t="s">
        <v>755</v>
      </c>
      <c r="L10" s="439">
        <f>SQRT(L7/L5)</f>
        <v>0.2449489742783178</v>
      </c>
      <c r="N10" t="e">
        <f ca="1">FTEXT(L10)</f>
        <v>#NAME?</v>
      </c>
    </row>
    <row r="11" spans="1:14" x14ac:dyDescent="0.25">
      <c r="A11" s="147" t="s">
        <v>422</v>
      </c>
      <c r="B11" s="163">
        <f>B10^2*B4</f>
        <v>3.6372244053728005</v>
      </c>
      <c r="D11" t="e">
        <f ca="1">FTEXT(B11)</f>
        <v>#NAME?</v>
      </c>
      <c r="K11" s="408" t="s">
        <v>1223</v>
      </c>
      <c r="L11" s="163" t="e">
        <f ca="1">SQRT(L8/L5)</f>
        <v>#NAME?</v>
      </c>
      <c r="N11" t="e">
        <f ca="1">FTEXT(L11)</f>
        <v>#NAME?</v>
      </c>
    </row>
    <row r="12" spans="1:14" x14ac:dyDescent="0.25">
      <c r="A12" s="147" t="s">
        <v>528</v>
      </c>
      <c r="B12" s="163" t="e">
        <f ca="1">NCHISQ_DIST(B7,B6,B11,TRUE)</f>
        <v>#NAME?</v>
      </c>
      <c r="D12" s="22" t="s">
        <v>1735</v>
      </c>
      <c r="F12" t="s">
        <v>105</v>
      </c>
      <c r="G12" s="205" t="e">
        <f ca="1">CHISQ_SIZE(G7,G6)</f>
        <v>#NAME?</v>
      </c>
      <c r="I12" s="22" t="s">
        <v>927</v>
      </c>
      <c r="K12" s="408" t="s">
        <v>1224</v>
      </c>
      <c r="L12" s="155" t="e">
        <f ca="1">SQRT(L9/L5)</f>
        <v>#NAME?</v>
      </c>
      <c r="N12" t="e">
        <f ca="1">FTEXT(L12)</f>
        <v>#NAME?</v>
      </c>
    </row>
    <row r="13" spans="1:14" x14ac:dyDescent="0.25">
      <c r="A13" s="147" t="s">
        <v>843</v>
      </c>
      <c r="B13" s="155" t="e">
        <f ca="1">1-B12</f>
        <v>#NAME?</v>
      </c>
      <c r="D13" t="e">
        <f ca="1">FTEXT(B13)</f>
        <v>#NAME?</v>
      </c>
      <c r="K13" s="408" t="s">
        <v>140</v>
      </c>
      <c r="L13" s="163">
        <v>0.05</v>
      </c>
    </row>
    <row r="14" spans="1:14" x14ac:dyDescent="0.25">
      <c r="A14" s="1"/>
      <c r="D14" t="s">
        <v>567</v>
      </c>
      <c r="K14" t="s">
        <v>1076</v>
      </c>
      <c r="L14" s="163" t="e">
        <f ca="1">CHISQ_POWER(L10,L5,L4,L13)</f>
        <v>#NAME?</v>
      </c>
      <c r="N14" t="e">
        <f ca="1">FTEXT(L14)</f>
        <v>#NAME?</v>
      </c>
    </row>
    <row r="15" spans="1:14" x14ac:dyDescent="0.25">
      <c r="A15" s="24" t="s">
        <v>848</v>
      </c>
      <c r="B15" s="205" t="e">
        <f ca="1">CHISQ_POWER(B10,B4,B6)</f>
        <v>#NAME?</v>
      </c>
      <c r="D15" t="e">
        <f ca="1">FTEXT(B15)</f>
        <v>#NAME?</v>
      </c>
      <c r="K15" t="s">
        <v>1218</v>
      </c>
      <c r="L15" s="163" t="e">
        <f ca="1">CHISQ_POWER(L11,L5,L4,L13)</f>
        <v>#NAME?</v>
      </c>
      <c r="N15" t="e">
        <f ca="1">FTEXT(L15)</f>
        <v>#NAME?</v>
      </c>
    </row>
    <row r="16" spans="1:14" x14ac:dyDescent="0.25">
      <c r="A16" s="1"/>
      <c r="F16" s="1"/>
      <c r="K16" t="s">
        <v>1219</v>
      </c>
      <c r="L16" s="155" t="e">
        <f ca="1">CHISQ_POWER(L12,L5,L4,L13)</f>
        <v>#NAME?</v>
      </c>
      <c r="N16" t="e">
        <f ca="1">FTEXT(L16)</f>
        <v>#NAME?</v>
      </c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</sheetData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3"/>
  <dimension ref="A1:Q25"/>
  <sheetViews>
    <sheetView workbookViewId="0"/>
  </sheetViews>
  <sheetFormatPr defaultRowHeight="15" x14ac:dyDescent="0.25"/>
  <cols>
    <col min="1" max="1" width="16.140625" customWidth="1"/>
    <col min="4" max="4" width="6.5703125" customWidth="1"/>
    <col min="5" max="5" width="9.140625" customWidth="1"/>
    <col min="6" max="6" width="2.7109375" customWidth="1"/>
    <col min="7" max="7" width="27" customWidth="1"/>
    <col min="8" max="8" width="3.85546875" customWidth="1"/>
    <col min="9" max="9" width="7.7109375" customWidth="1"/>
    <col min="11" max="11" width="2.7109375" customWidth="1"/>
    <col min="12" max="12" width="50.5703125" customWidth="1"/>
    <col min="16" max="16" width="3.85546875" customWidth="1"/>
    <col min="17" max="17" width="52" customWidth="1"/>
  </cols>
  <sheetData>
    <row r="1" spans="1:17" x14ac:dyDescent="0.25">
      <c r="A1" s="1" t="s">
        <v>930</v>
      </c>
    </row>
    <row r="3" spans="1:17" x14ac:dyDescent="0.25">
      <c r="A3" s="24" t="s">
        <v>918</v>
      </c>
      <c r="D3" t="s">
        <v>112</v>
      </c>
      <c r="E3" t="s">
        <v>924</v>
      </c>
      <c r="I3" t="s">
        <v>112</v>
      </c>
      <c r="J3" t="s">
        <v>920</v>
      </c>
      <c r="N3" t="s">
        <v>112</v>
      </c>
      <c r="O3" t="s">
        <v>920</v>
      </c>
    </row>
    <row r="4" spans="1:17" x14ac:dyDescent="0.25">
      <c r="A4" s="1"/>
    </row>
    <row r="5" spans="1:17" ht="15" customHeight="1" x14ac:dyDescent="0.25">
      <c r="A5" t="s">
        <v>105</v>
      </c>
      <c r="B5" s="154">
        <v>50</v>
      </c>
      <c r="D5" s="533" t="s">
        <v>1477</v>
      </c>
      <c r="E5" s="315">
        <f>B8</f>
        <v>1.44</v>
      </c>
      <c r="F5" s="8"/>
      <c r="G5" s="8"/>
      <c r="I5" s="533" t="s">
        <v>1477</v>
      </c>
      <c r="J5" s="315">
        <f>B8</f>
        <v>1.44</v>
      </c>
      <c r="N5" s="533" t="s">
        <v>1477</v>
      </c>
      <c r="O5" s="315">
        <f>J6</f>
        <v>2.25</v>
      </c>
    </row>
    <row r="6" spans="1:17" ht="15" customHeight="1" x14ac:dyDescent="0.25">
      <c r="A6" t="s">
        <v>168</v>
      </c>
      <c r="B6" s="163">
        <f>B5-1</f>
        <v>49</v>
      </c>
      <c r="D6" s="533" t="s">
        <v>1478</v>
      </c>
      <c r="E6" s="163">
        <f>B10</f>
        <v>2.25</v>
      </c>
      <c r="F6" s="8"/>
      <c r="G6" s="8"/>
      <c r="I6" s="533" t="s">
        <v>1478</v>
      </c>
      <c r="J6" s="163">
        <f>B10</f>
        <v>2.25</v>
      </c>
      <c r="N6" s="533" t="s">
        <v>1478</v>
      </c>
      <c r="O6" s="163">
        <f>J5</f>
        <v>1.44</v>
      </c>
    </row>
    <row r="7" spans="1:17" x14ac:dyDescent="0.25">
      <c r="A7" t="s">
        <v>263</v>
      </c>
      <c r="B7" s="163">
        <v>1.2</v>
      </c>
      <c r="D7" s="53" t="s">
        <v>928</v>
      </c>
      <c r="E7" s="163">
        <f>E6/E5</f>
        <v>1.5625</v>
      </c>
      <c r="F7" s="8"/>
      <c r="G7" s="294" t="e">
        <f ca="1">FTEXT(E7)</f>
        <v>#NAME?</v>
      </c>
      <c r="I7" s="53" t="s">
        <v>928</v>
      </c>
      <c r="J7" s="163">
        <f>J6/J5</f>
        <v>1.5625</v>
      </c>
      <c r="L7" s="294" t="e">
        <f ca="1">FTEXT(J7)</f>
        <v>#NAME?</v>
      </c>
      <c r="N7" s="53" t="s">
        <v>928</v>
      </c>
      <c r="O7" s="163">
        <f>O6/O5</f>
        <v>0.64</v>
      </c>
      <c r="Q7" s="294" t="e">
        <f ca="1">FTEXT(O7)</f>
        <v>#NAME?</v>
      </c>
    </row>
    <row r="8" spans="1:17" x14ac:dyDescent="0.25">
      <c r="A8" t="s">
        <v>260</v>
      </c>
      <c r="B8" s="163">
        <f>B7^2</f>
        <v>1.44</v>
      </c>
      <c r="D8" s="147" t="s">
        <v>105</v>
      </c>
      <c r="E8" s="163">
        <f>B5</f>
        <v>50</v>
      </c>
      <c r="F8" s="8"/>
      <c r="G8" s="8"/>
      <c r="I8" s="147" t="s">
        <v>105</v>
      </c>
      <c r="J8" s="163">
        <f>B5</f>
        <v>50</v>
      </c>
      <c r="N8" s="147" t="s">
        <v>105</v>
      </c>
      <c r="O8" s="163">
        <f>J8</f>
        <v>50</v>
      </c>
    </row>
    <row r="9" spans="1:17" x14ac:dyDescent="0.25">
      <c r="A9" t="s">
        <v>265</v>
      </c>
      <c r="B9" s="163">
        <v>1.5</v>
      </c>
      <c r="D9" s="147" t="s">
        <v>168</v>
      </c>
      <c r="E9" s="163">
        <f>E8-1</f>
        <v>49</v>
      </c>
      <c r="F9" s="8"/>
      <c r="G9" s="294" t="e">
        <f ca="1">FTEXT(E9)</f>
        <v>#NAME?</v>
      </c>
      <c r="I9" s="147" t="s">
        <v>168</v>
      </c>
      <c r="J9" s="163">
        <f>J8-1</f>
        <v>49</v>
      </c>
      <c r="L9" s="294" t="e">
        <f ca="1">FTEXT(J9)</f>
        <v>#NAME?</v>
      </c>
      <c r="N9" s="147" t="s">
        <v>168</v>
      </c>
      <c r="O9" s="163">
        <f>O8-1</f>
        <v>49</v>
      </c>
      <c r="Q9" s="294" t="e">
        <f ca="1">FTEXT(O9)</f>
        <v>#NAME?</v>
      </c>
    </row>
    <row r="10" spans="1:17" x14ac:dyDescent="0.25">
      <c r="A10" t="s">
        <v>261</v>
      </c>
      <c r="B10" s="163">
        <f>B9^2</f>
        <v>2.25</v>
      </c>
      <c r="D10" s="53" t="s">
        <v>140</v>
      </c>
      <c r="E10" s="163">
        <f>B11</f>
        <v>0.05</v>
      </c>
      <c r="F10" s="8"/>
      <c r="G10" s="8"/>
      <c r="I10" s="53" t="s">
        <v>140</v>
      </c>
      <c r="J10" s="163">
        <f>B11</f>
        <v>0.05</v>
      </c>
      <c r="N10" s="53" t="s">
        <v>140</v>
      </c>
      <c r="O10" s="163">
        <f>J10</f>
        <v>0.05</v>
      </c>
    </row>
    <row r="11" spans="1:17" x14ac:dyDescent="0.25">
      <c r="A11" s="53" t="s">
        <v>140</v>
      </c>
      <c r="B11" s="163">
        <v>0.05</v>
      </c>
      <c r="D11" t="s">
        <v>919</v>
      </c>
      <c r="E11" s="163">
        <f>CHIINV(E10,E9)</f>
        <v>66.338648862968824</v>
      </c>
      <c r="F11" s="8"/>
      <c r="G11" s="294" t="s">
        <v>1479</v>
      </c>
      <c r="I11" t="s">
        <v>921</v>
      </c>
      <c r="J11" s="163">
        <f>CHIINV(1-J10/2,J9)</f>
        <v>31.554916462667144</v>
      </c>
      <c r="L11" s="22" t="s">
        <v>1151</v>
      </c>
      <c r="N11" t="s">
        <v>921</v>
      </c>
      <c r="O11" s="163">
        <f>CHIINV(1-O10/2,O9)</f>
        <v>31.554916462667144</v>
      </c>
      <c r="Q11" s="22" t="s">
        <v>1151</v>
      </c>
    </row>
    <row r="12" spans="1:17" x14ac:dyDescent="0.25">
      <c r="A12" t="s">
        <v>28</v>
      </c>
      <c r="B12" s="163">
        <f>B6*B10/B8</f>
        <v>76.5625</v>
      </c>
      <c r="D12" s="53" t="s">
        <v>528</v>
      </c>
      <c r="E12" s="163">
        <f>1-CHIDIST(E11/E7,E9)</f>
        <v>0.26607339522118612</v>
      </c>
      <c r="F12" s="8"/>
      <c r="G12" s="294" t="s">
        <v>1480</v>
      </c>
      <c r="I12" t="s">
        <v>922</v>
      </c>
      <c r="J12" s="163">
        <f>CHIINV(J10/2,J9)</f>
        <v>70.22241356643454</v>
      </c>
      <c r="L12" s="22" t="s">
        <v>1152</v>
      </c>
      <c r="N12" t="s">
        <v>922</v>
      </c>
      <c r="O12" s="163">
        <f>CHIINV(O10/2,O9)</f>
        <v>70.22241356643454</v>
      </c>
      <c r="Q12" s="22" t="s">
        <v>1152</v>
      </c>
    </row>
    <row r="13" spans="1:17" x14ac:dyDescent="0.25">
      <c r="A13" t="s">
        <v>544</v>
      </c>
      <c r="B13" s="163">
        <f>CHIDIST(B12,B6)</f>
        <v>7.1228757540609733E-3</v>
      </c>
      <c r="D13" s="53" t="s">
        <v>843</v>
      </c>
      <c r="E13" s="155">
        <f>1-E12</f>
        <v>0.73392660477881388</v>
      </c>
      <c r="F13" s="8"/>
      <c r="G13" s="294" t="e">
        <f ca="1">FTEXT(E13)</f>
        <v>#NAME?</v>
      </c>
      <c r="I13" s="53" t="s">
        <v>528</v>
      </c>
      <c r="J13" s="163">
        <f>CHIDIST(J11/J7,J9)-CHIDIST(J12/J7,J9)</f>
        <v>0.36162106822118911</v>
      </c>
      <c r="L13" s="22" t="s">
        <v>1482</v>
      </c>
      <c r="N13" s="53" t="s">
        <v>528</v>
      </c>
      <c r="O13" s="163">
        <f>CHIDIST(O11/O7,O9)-CHIDIST(O12/O7,O9)</f>
        <v>0.46093480615629912</v>
      </c>
      <c r="Q13" s="22" t="s">
        <v>1482</v>
      </c>
    </row>
    <row r="14" spans="1:17" x14ac:dyDescent="0.25">
      <c r="A14" t="s">
        <v>381</v>
      </c>
      <c r="B14" s="182" t="str">
        <f>IF(B13&lt;B11,"yes","no")</f>
        <v>yes</v>
      </c>
      <c r="I14" s="53" t="s">
        <v>843</v>
      </c>
      <c r="J14" s="155">
        <f>1-J13</f>
        <v>0.63837893177881089</v>
      </c>
      <c r="L14" s="294" t="e">
        <f ca="1">FTEXT(J14)</f>
        <v>#NAME?</v>
      </c>
      <c r="N14" s="53" t="s">
        <v>843</v>
      </c>
      <c r="O14" s="155">
        <f>1-O13</f>
        <v>0.53906519384370088</v>
      </c>
      <c r="Q14" s="294" t="e">
        <f ca="1">FTEXT(O14)</f>
        <v>#NAME?</v>
      </c>
    </row>
    <row r="15" spans="1:17" x14ac:dyDescent="0.25">
      <c r="A15" t="s">
        <v>545</v>
      </c>
      <c r="B15" s="155">
        <f>CHIINV(B11,B6)</f>
        <v>66.338648862968824</v>
      </c>
      <c r="D15" t="s">
        <v>112</v>
      </c>
      <c r="E15" t="s">
        <v>924</v>
      </c>
    </row>
    <row r="17" spans="1:12" ht="17.25" x14ac:dyDescent="0.25">
      <c r="A17" t="s">
        <v>546</v>
      </c>
      <c r="D17" s="533" t="s">
        <v>1477</v>
      </c>
      <c r="E17" s="315">
        <v>2.25</v>
      </c>
      <c r="F17" s="8"/>
      <c r="G17" s="8"/>
      <c r="I17" t="s">
        <v>1002</v>
      </c>
    </row>
    <row r="18" spans="1:12" ht="17.25" x14ac:dyDescent="0.25">
      <c r="D18" s="533" t="s">
        <v>1478</v>
      </c>
      <c r="E18" s="163">
        <v>1.44</v>
      </c>
      <c r="F18" s="8"/>
      <c r="G18" s="8"/>
    </row>
    <row r="19" spans="1:12" x14ac:dyDescent="0.25">
      <c r="A19" t="s">
        <v>547</v>
      </c>
      <c r="B19" s="154">
        <f>CHIINV(1-B11/2,B6)</f>
        <v>31.554916462667144</v>
      </c>
      <c r="D19" s="53" t="s">
        <v>928</v>
      </c>
      <c r="E19" s="163">
        <f>E18/E17</f>
        <v>0.64</v>
      </c>
      <c r="F19" s="8"/>
      <c r="G19" s="294" t="e">
        <f ca="1">FTEXT(E19)</f>
        <v>#NAME?</v>
      </c>
      <c r="I19" t="s">
        <v>925</v>
      </c>
      <c r="J19" s="315" t="e">
        <f ca="1">VAR1_POWER(E7,E8,1,E10)</f>
        <v>#NAME?</v>
      </c>
      <c r="L19" s="294" t="e">
        <f ca="1">FTEXT(J19)</f>
        <v>#NAME?</v>
      </c>
    </row>
    <row r="20" spans="1:12" x14ac:dyDescent="0.25">
      <c r="A20" t="s">
        <v>548</v>
      </c>
      <c r="B20" s="155">
        <f>CHIINV(B11/2,B6)</f>
        <v>70.22241356643454</v>
      </c>
      <c r="D20" s="147" t="s">
        <v>105</v>
      </c>
      <c r="E20" s="163">
        <f>E8</f>
        <v>50</v>
      </c>
      <c r="F20" s="8"/>
      <c r="G20" s="8"/>
      <c r="I20" t="s">
        <v>926</v>
      </c>
      <c r="J20" s="155" t="e">
        <f ca="1">VAR1_POWER(J7,J8,2,J10)</f>
        <v>#NAME?</v>
      </c>
      <c r="L20" s="294" t="e">
        <f ca="1">FTEXT(J20)</f>
        <v>#NAME?</v>
      </c>
    </row>
    <row r="21" spans="1:12" x14ac:dyDescent="0.25">
      <c r="D21" s="147" t="s">
        <v>168</v>
      </c>
      <c r="E21" s="163">
        <f>E20-1</f>
        <v>49</v>
      </c>
      <c r="F21" s="8"/>
      <c r="G21" s="294" t="e">
        <f ca="1">FTEXT(E21)</f>
        <v>#NAME?</v>
      </c>
    </row>
    <row r="22" spans="1:12" x14ac:dyDescent="0.25">
      <c r="D22" s="53" t="s">
        <v>140</v>
      </c>
      <c r="E22" s="163">
        <f>E10</f>
        <v>0.05</v>
      </c>
      <c r="F22" s="8"/>
      <c r="G22" s="8"/>
      <c r="I22" t="s">
        <v>925</v>
      </c>
      <c r="J22" s="315" t="e">
        <f ca="1">VAR1_SIZE(E7,0.8,1)</f>
        <v>#NAME?</v>
      </c>
      <c r="L22" s="294" t="e">
        <f ca="1">FTEXT(J22)</f>
        <v>#NAME?</v>
      </c>
    </row>
    <row r="23" spans="1:12" x14ac:dyDescent="0.25">
      <c r="D23" t="s">
        <v>919</v>
      </c>
      <c r="E23" s="163">
        <f>CHIINV(1-E22,E21)</f>
        <v>33.930305618527832</v>
      </c>
      <c r="F23" s="8"/>
      <c r="G23" s="294" t="s">
        <v>1150</v>
      </c>
      <c r="I23" t="s">
        <v>926</v>
      </c>
      <c r="J23" s="155" t="e">
        <f ca="1">VAR1_SIZE(J7)</f>
        <v>#NAME?</v>
      </c>
      <c r="L23" s="294" t="e">
        <f ca="1">FTEXT(J23)</f>
        <v>#NAME?</v>
      </c>
    </row>
    <row r="24" spans="1:12" x14ac:dyDescent="0.25">
      <c r="D24" s="53" t="s">
        <v>528</v>
      </c>
      <c r="E24" s="163">
        <f>1-CHIDIST(E23/E19,E21)</f>
        <v>0.67798345486557166</v>
      </c>
      <c r="F24" s="8"/>
      <c r="G24" s="294" t="s">
        <v>1481</v>
      </c>
    </row>
    <row r="25" spans="1:12" x14ac:dyDescent="0.25">
      <c r="D25" s="53" t="s">
        <v>843</v>
      </c>
      <c r="E25" s="155">
        <f>1-E24</f>
        <v>0.32201654513442834</v>
      </c>
      <c r="F25" s="8"/>
      <c r="G25" s="294" t="e">
        <f ca="1">FTEXT(E25)</f>
        <v>#NAME?</v>
      </c>
      <c r="I25" t="s">
        <v>925</v>
      </c>
      <c r="J25" s="315" t="e">
        <f ca="1">VAR1_POWER(E19,E20,1,E22)</f>
        <v>#NAME?</v>
      </c>
      <c r="L25" s="294" t="e">
        <f ca="1">FTEXT(J25)</f>
        <v>#NAME?</v>
      </c>
    </row>
  </sheetData>
  <pageMargins left="0.7" right="0.7" top="0.75" bottom="0.75" header="0.3" footer="0.3"/>
  <ignoredErrors>
    <ignoredError sqref="E21 O9" formula="1"/>
  </ignoredErrors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4"/>
  <dimension ref="A1:I30"/>
  <sheetViews>
    <sheetView workbookViewId="0"/>
  </sheetViews>
  <sheetFormatPr defaultRowHeight="15" x14ac:dyDescent="0.25"/>
  <cols>
    <col min="1" max="1" width="10.85546875" customWidth="1"/>
    <col min="3" max="3" width="3.7109375" customWidth="1"/>
    <col min="4" max="4" width="27.85546875" customWidth="1"/>
    <col min="5" max="5" width="3.5703125" customWidth="1"/>
    <col min="6" max="6" width="10.7109375" customWidth="1"/>
    <col min="7" max="7" width="9.140625" customWidth="1"/>
    <col min="8" max="8" width="3.42578125" customWidth="1"/>
    <col min="9" max="9" width="50.140625" customWidth="1"/>
  </cols>
  <sheetData>
    <row r="1" spans="1:9" x14ac:dyDescent="0.25">
      <c r="A1" s="1" t="s">
        <v>929</v>
      </c>
    </row>
    <row r="3" spans="1:9" x14ac:dyDescent="0.25">
      <c r="A3" t="s">
        <v>112</v>
      </c>
      <c r="B3" t="s">
        <v>1299</v>
      </c>
      <c r="F3" t="s">
        <v>112</v>
      </c>
      <c r="G3" t="s">
        <v>1300</v>
      </c>
    </row>
    <row r="5" spans="1:9" x14ac:dyDescent="0.25">
      <c r="A5" t="s">
        <v>933</v>
      </c>
      <c r="B5" s="315">
        <v>1.75</v>
      </c>
      <c r="C5" s="8"/>
      <c r="D5" s="8"/>
      <c r="F5" t="s">
        <v>935</v>
      </c>
      <c r="G5" s="315">
        <v>1.5</v>
      </c>
    </row>
    <row r="6" spans="1:9" x14ac:dyDescent="0.25">
      <c r="A6" t="s">
        <v>934</v>
      </c>
      <c r="B6" s="163">
        <v>2.25</v>
      </c>
      <c r="C6" s="8"/>
      <c r="D6" s="8"/>
      <c r="F6" t="s">
        <v>936</v>
      </c>
      <c r="G6" s="163">
        <v>1.2</v>
      </c>
    </row>
    <row r="7" spans="1:9" x14ac:dyDescent="0.25">
      <c r="A7" s="53" t="s">
        <v>928</v>
      </c>
      <c r="B7" s="163">
        <f>B6/B5</f>
        <v>1.2857142857142858</v>
      </c>
      <c r="C7" s="8"/>
      <c r="D7" s="294" t="e">
        <f ca="1">FTEXT(B7)</f>
        <v>#NAME?</v>
      </c>
      <c r="F7" s="53" t="s">
        <v>928</v>
      </c>
      <c r="G7" s="163">
        <f>G5^2/G6^2</f>
        <v>1.5625</v>
      </c>
      <c r="I7" s="294" t="e">
        <f ca="1">FTEXT(G7)</f>
        <v>#NAME?</v>
      </c>
    </row>
    <row r="8" spans="1:9" x14ac:dyDescent="0.25">
      <c r="A8" s="147" t="s">
        <v>247</v>
      </c>
      <c r="B8" s="163">
        <v>50</v>
      </c>
      <c r="C8" s="8"/>
      <c r="D8" s="294"/>
      <c r="F8" s="147" t="s">
        <v>247</v>
      </c>
      <c r="G8" s="163">
        <v>50</v>
      </c>
    </row>
    <row r="9" spans="1:9" x14ac:dyDescent="0.25">
      <c r="A9" s="147" t="s">
        <v>248</v>
      </c>
      <c r="B9" s="163">
        <v>60</v>
      </c>
      <c r="D9" s="294"/>
      <c r="F9" s="147" t="s">
        <v>248</v>
      </c>
      <c r="G9" s="163">
        <v>60</v>
      </c>
    </row>
    <row r="10" spans="1:9" x14ac:dyDescent="0.25">
      <c r="A10" s="147" t="s">
        <v>370</v>
      </c>
      <c r="B10" s="163">
        <f>B8-1</f>
        <v>49</v>
      </c>
      <c r="C10" s="8"/>
      <c r="D10" s="294" t="e">
        <f ca="1">FTEXT(B10)</f>
        <v>#NAME?</v>
      </c>
      <c r="F10" s="147" t="s">
        <v>370</v>
      </c>
      <c r="G10" s="163">
        <f>G8-1</f>
        <v>49</v>
      </c>
      <c r="I10" s="294" t="e">
        <f ca="1">FTEXT(G10)</f>
        <v>#NAME?</v>
      </c>
    </row>
    <row r="11" spans="1:9" x14ac:dyDescent="0.25">
      <c r="A11" s="147" t="s">
        <v>371</v>
      </c>
      <c r="B11" s="163">
        <f>B9-1</f>
        <v>59</v>
      </c>
      <c r="D11" s="294" t="e">
        <f ca="1">FTEXT(B11)</f>
        <v>#NAME?</v>
      </c>
      <c r="F11" s="147" t="s">
        <v>371</v>
      </c>
      <c r="G11" s="163">
        <f>G9-1</f>
        <v>59</v>
      </c>
      <c r="I11" s="294" t="e">
        <f ca="1">FTEXT(G11)</f>
        <v>#NAME?</v>
      </c>
    </row>
    <row r="12" spans="1:9" x14ac:dyDescent="0.25">
      <c r="A12" s="53" t="s">
        <v>140</v>
      </c>
      <c r="B12" s="163">
        <v>0.05</v>
      </c>
      <c r="C12" s="8"/>
      <c r="D12" s="294"/>
      <c r="F12" s="53" t="s">
        <v>140</v>
      </c>
      <c r="G12" s="163">
        <v>0.05</v>
      </c>
    </row>
    <row r="13" spans="1:9" x14ac:dyDescent="0.25">
      <c r="A13" t="s">
        <v>380</v>
      </c>
      <c r="B13" s="163">
        <f>_xlfn.F.INV.RT(B12,B10,B11)</f>
        <v>1.5653954734084008</v>
      </c>
      <c r="D13" s="294" t="e">
        <f ca="1">FTEXT(B13)</f>
        <v>#NAME?</v>
      </c>
      <c r="F13" t="s">
        <v>931</v>
      </c>
      <c r="G13" s="163">
        <f>_xlfn.F.INV(G12/2,G10,G11)</f>
        <v>0.57788671864724417</v>
      </c>
      <c r="I13" s="294" t="e">
        <f ca="1">FTEXT(G13)</f>
        <v>#NAME?</v>
      </c>
    </row>
    <row r="14" spans="1:9" x14ac:dyDescent="0.25">
      <c r="A14" s="53" t="s">
        <v>528</v>
      </c>
      <c r="B14" s="163">
        <f>_xlfn.F.DIST(B13/B7,B10,B11,TRUE)</f>
        <v>0.76632434576447162</v>
      </c>
      <c r="D14" s="294" t="e">
        <f ca="1">FTEXT(B14)</f>
        <v>#NAME?</v>
      </c>
      <c r="F14" t="s">
        <v>932</v>
      </c>
      <c r="G14" s="163">
        <f>_xlfn.F.INV.RT(G12/2,G10,G11)</f>
        <v>1.7068671005661997</v>
      </c>
      <c r="I14" s="294" t="e">
        <f ca="1">FTEXT(G14)</f>
        <v>#NAME?</v>
      </c>
    </row>
    <row r="15" spans="1:9" x14ac:dyDescent="0.25">
      <c r="A15" s="53" t="s">
        <v>843</v>
      </c>
      <c r="B15" s="155">
        <f>1-B14</f>
        <v>0.23367565423552838</v>
      </c>
      <c r="D15" s="294" t="e">
        <f ca="1">FTEXT(B15)</f>
        <v>#NAME?</v>
      </c>
      <c r="F15" s="53" t="s">
        <v>528</v>
      </c>
      <c r="G15" s="163">
        <f>_xlfn.F.DIST.RT(G13/G7,G10,G11)-_xlfn.F.DIST.RT(G14/G7,G10,G11)</f>
        <v>0.62930802636206673</v>
      </c>
      <c r="I15" s="294" t="e">
        <f ca="1">FTEXT(G15)</f>
        <v>#NAME?</v>
      </c>
    </row>
    <row r="16" spans="1:9" x14ac:dyDescent="0.25">
      <c r="F16" s="53" t="s">
        <v>843</v>
      </c>
      <c r="G16" s="155">
        <f>1-G15</f>
        <v>0.37069197363793327</v>
      </c>
      <c r="I16" s="294" t="e">
        <f ca="1">FTEXT(G16)</f>
        <v>#NAME?</v>
      </c>
    </row>
    <row r="18" spans="1:9" x14ac:dyDescent="0.25">
      <c r="A18" t="s">
        <v>112</v>
      </c>
      <c r="B18" t="s">
        <v>1299</v>
      </c>
    </row>
    <row r="19" spans="1:9" x14ac:dyDescent="0.25">
      <c r="F19" t="s">
        <v>1002</v>
      </c>
    </row>
    <row r="20" spans="1:9" x14ac:dyDescent="0.25">
      <c r="A20" t="s">
        <v>933</v>
      </c>
      <c r="B20" s="315">
        <v>2.25</v>
      </c>
      <c r="C20" s="8"/>
      <c r="D20" s="8"/>
    </row>
    <row r="21" spans="1:9" x14ac:dyDescent="0.25">
      <c r="A21" t="s">
        <v>934</v>
      </c>
      <c r="B21" s="163">
        <v>1.75</v>
      </c>
      <c r="C21" s="8"/>
      <c r="D21" s="8"/>
      <c r="F21" t="s">
        <v>925</v>
      </c>
      <c r="G21" s="315" t="e">
        <f ca="1">VAR2_POWER(B7,B8,B9,1,B12)</f>
        <v>#NAME?</v>
      </c>
      <c r="I21" s="294" t="e">
        <f ca="1">FTEXT(G21)</f>
        <v>#NAME?</v>
      </c>
    </row>
    <row r="22" spans="1:9" x14ac:dyDescent="0.25">
      <c r="A22" s="53" t="s">
        <v>928</v>
      </c>
      <c r="B22" s="163">
        <f>B21/B20</f>
        <v>0.77777777777777779</v>
      </c>
      <c r="C22" s="8"/>
      <c r="D22" s="294" t="e">
        <f ca="1">FTEXT(B22)</f>
        <v>#NAME?</v>
      </c>
      <c r="F22" t="s">
        <v>926</v>
      </c>
      <c r="G22" s="155" t="e">
        <f ca="1">VAR2_POWER(G7,G8,G9)</f>
        <v>#NAME?</v>
      </c>
      <c r="I22" s="294" t="e">
        <f ca="1">FTEXT(G22)</f>
        <v>#NAME?</v>
      </c>
    </row>
    <row r="23" spans="1:9" x14ac:dyDescent="0.25">
      <c r="A23" s="147" t="s">
        <v>247</v>
      </c>
      <c r="B23" s="163">
        <v>50</v>
      </c>
      <c r="C23" s="8"/>
      <c r="D23" s="294"/>
    </row>
    <row r="24" spans="1:9" x14ac:dyDescent="0.25">
      <c r="A24" s="147" t="s">
        <v>248</v>
      </c>
      <c r="B24" s="163">
        <v>60</v>
      </c>
      <c r="D24" s="294"/>
      <c r="F24" t="s">
        <v>925</v>
      </c>
      <c r="G24" s="315" t="e">
        <f ca="1">VAR2_SIZE(B7,0.8,1)</f>
        <v>#NAME?</v>
      </c>
      <c r="I24" s="294" t="e">
        <f ca="1">FTEXT(G24)</f>
        <v>#NAME?</v>
      </c>
    </row>
    <row r="25" spans="1:9" x14ac:dyDescent="0.25">
      <c r="A25" s="147" t="s">
        <v>370</v>
      </c>
      <c r="B25" s="163">
        <f>B23-1</f>
        <v>49</v>
      </c>
      <c r="C25" s="8"/>
      <c r="D25" s="294" t="e">
        <f ca="1">FTEXT(B25)</f>
        <v>#NAME?</v>
      </c>
      <c r="F25" t="s">
        <v>926</v>
      </c>
      <c r="G25" s="155" t="e">
        <f ca="1">VAR2_SIZE(0.6)</f>
        <v>#NAME?</v>
      </c>
      <c r="I25" s="294" t="e">
        <f ca="1">FTEXT(G25)</f>
        <v>#NAME?</v>
      </c>
    </row>
    <row r="26" spans="1:9" x14ac:dyDescent="0.25">
      <c r="A26" s="147" t="s">
        <v>371</v>
      </c>
      <c r="B26" s="163">
        <f>B24-1</f>
        <v>59</v>
      </c>
      <c r="D26" s="294" t="e">
        <f ca="1">FTEXT(B26)</f>
        <v>#NAME?</v>
      </c>
      <c r="I26" s="294" t="e">
        <f ca="1">FTEXT(G26)</f>
        <v>#NAME?</v>
      </c>
    </row>
    <row r="27" spans="1:9" x14ac:dyDescent="0.25">
      <c r="A27" s="53" t="s">
        <v>140</v>
      </c>
      <c r="B27" s="163">
        <v>0.05</v>
      </c>
      <c r="C27" s="8"/>
      <c r="D27" s="294"/>
    </row>
    <row r="28" spans="1:9" x14ac:dyDescent="0.25">
      <c r="A28" t="s">
        <v>380</v>
      </c>
      <c r="B28" s="163">
        <f>_xlfn.F.INV(B27,B25,B26)</f>
        <v>0.63181371918759743</v>
      </c>
      <c r="D28" s="294" t="e">
        <f ca="1">FTEXT(B28)</f>
        <v>#NAME?</v>
      </c>
      <c r="F28" t="s">
        <v>925</v>
      </c>
      <c r="G28" s="205" t="e">
        <f ca="1">VAR2_POWER(B22,B23,B24,1,B27)</f>
        <v>#NAME?</v>
      </c>
      <c r="I28" s="294" t="e">
        <f ca="1">FTEXT(G28)</f>
        <v>#NAME?</v>
      </c>
    </row>
    <row r="29" spans="1:9" x14ac:dyDescent="0.25">
      <c r="A29" s="53" t="s">
        <v>528</v>
      </c>
      <c r="B29" s="163">
        <f>_xlfn.F.DIST.RT(B28/B22,B25,B26)</f>
        <v>0.77196470814966989</v>
      </c>
      <c r="D29" s="294" t="e">
        <f ca="1">FTEXT(B29)</f>
        <v>#NAME?</v>
      </c>
    </row>
    <row r="30" spans="1:9" x14ac:dyDescent="0.25">
      <c r="A30" s="53" t="s">
        <v>843</v>
      </c>
      <c r="B30" s="155">
        <f>1-B29</f>
        <v>0.22803529185033011</v>
      </c>
      <c r="D30" s="294" t="e">
        <f ca="1">FTEXT(B30)</f>
        <v>#NAME?</v>
      </c>
    </row>
  </sheetData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5"/>
  <dimension ref="A1:I25"/>
  <sheetViews>
    <sheetView workbookViewId="0"/>
  </sheetViews>
  <sheetFormatPr defaultRowHeight="15" x14ac:dyDescent="0.25"/>
  <cols>
    <col min="1" max="1" width="7.85546875" customWidth="1"/>
    <col min="3" max="3" width="3.7109375" customWidth="1"/>
    <col min="4" max="4" width="24.28515625" customWidth="1"/>
    <col min="6" max="6" width="10.7109375" customWidth="1"/>
    <col min="8" max="8" width="3.42578125" customWidth="1"/>
    <col min="9" max="9" width="40.42578125" customWidth="1"/>
  </cols>
  <sheetData>
    <row r="1" spans="1:9" x14ac:dyDescent="0.25">
      <c r="A1" s="1" t="s">
        <v>929</v>
      </c>
    </row>
    <row r="3" spans="1:9" x14ac:dyDescent="0.25">
      <c r="A3" t="s">
        <v>112</v>
      </c>
      <c r="B3" t="s">
        <v>1299</v>
      </c>
      <c r="F3" t="s">
        <v>112</v>
      </c>
      <c r="G3" t="s">
        <v>1300</v>
      </c>
    </row>
    <row r="5" spans="1:9" x14ac:dyDescent="0.25">
      <c r="A5" t="s">
        <v>933</v>
      </c>
      <c r="B5" s="315">
        <v>1.75</v>
      </c>
      <c r="C5" s="8"/>
      <c r="D5" s="8"/>
      <c r="F5" t="s">
        <v>935</v>
      </c>
      <c r="G5" s="315">
        <v>1.5</v>
      </c>
    </row>
    <row r="6" spans="1:9" x14ac:dyDescent="0.25">
      <c r="A6" t="s">
        <v>934</v>
      </c>
      <c r="B6" s="163">
        <v>2.25</v>
      </c>
      <c r="C6" s="8"/>
      <c r="D6" s="8"/>
      <c r="F6" t="s">
        <v>936</v>
      </c>
      <c r="G6" s="163">
        <v>1.2</v>
      </c>
    </row>
    <row r="7" spans="1:9" x14ac:dyDescent="0.25">
      <c r="A7" s="53" t="s">
        <v>928</v>
      </c>
      <c r="B7" s="163">
        <f>B6/B5</f>
        <v>1.2857142857142858</v>
      </c>
      <c r="C7" s="8"/>
      <c r="D7" s="294" t="e">
        <f ca="1">FTEXT(B7)</f>
        <v>#NAME?</v>
      </c>
      <c r="F7" s="53" t="s">
        <v>928</v>
      </c>
      <c r="G7" s="163">
        <f>G5^2/G6^2</f>
        <v>1.5625</v>
      </c>
      <c r="I7" s="294" t="s">
        <v>937</v>
      </c>
    </row>
    <row r="8" spans="1:9" x14ac:dyDescent="0.25">
      <c r="A8" s="147" t="s">
        <v>247</v>
      </c>
      <c r="B8" s="163">
        <v>50</v>
      </c>
      <c r="C8" s="8"/>
      <c r="D8" s="294"/>
      <c r="F8" s="147" t="s">
        <v>247</v>
      </c>
      <c r="G8" s="163">
        <v>50</v>
      </c>
    </row>
    <row r="9" spans="1:9" x14ac:dyDescent="0.25">
      <c r="A9" s="147" t="s">
        <v>248</v>
      </c>
      <c r="B9" s="163">
        <v>60</v>
      </c>
      <c r="D9" s="294"/>
      <c r="F9" s="147" t="s">
        <v>248</v>
      </c>
      <c r="G9" s="163">
        <v>60</v>
      </c>
    </row>
    <row r="10" spans="1:9" x14ac:dyDescent="0.25">
      <c r="A10" s="147" t="s">
        <v>370</v>
      </c>
      <c r="B10" s="163">
        <f>B8-1</f>
        <v>49</v>
      </c>
      <c r="C10" s="8"/>
      <c r="D10" s="294" t="e">
        <f ca="1">FTEXT(B10)</f>
        <v>#NAME?</v>
      </c>
      <c r="F10" s="147" t="s">
        <v>370</v>
      </c>
      <c r="G10" s="163">
        <f>G8-1</f>
        <v>49</v>
      </c>
      <c r="I10" s="294" t="s">
        <v>923</v>
      </c>
    </row>
    <row r="11" spans="1:9" x14ac:dyDescent="0.25">
      <c r="A11" s="147" t="s">
        <v>371</v>
      </c>
      <c r="B11" s="163">
        <f>B9-1</f>
        <v>59</v>
      </c>
      <c r="D11" s="294" t="e">
        <f ca="1">FTEXT(B11)</f>
        <v>#NAME?</v>
      </c>
      <c r="F11" s="147" t="s">
        <v>371</v>
      </c>
      <c r="G11" s="163">
        <f>G9-1</f>
        <v>59</v>
      </c>
      <c r="I11" s="294" t="s">
        <v>938</v>
      </c>
    </row>
    <row r="12" spans="1:9" x14ac:dyDescent="0.25">
      <c r="A12" s="53" t="s">
        <v>140</v>
      </c>
      <c r="B12" s="163">
        <v>0.05</v>
      </c>
      <c r="C12" s="8"/>
      <c r="D12" s="294"/>
      <c r="F12" s="53" t="s">
        <v>140</v>
      </c>
      <c r="G12" s="163">
        <v>0.05</v>
      </c>
    </row>
    <row r="13" spans="1:9" x14ac:dyDescent="0.25">
      <c r="A13" t="s">
        <v>380</v>
      </c>
      <c r="B13" s="163">
        <f>FINV(B12,B10,B11)</f>
        <v>1.5653954734084008</v>
      </c>
      <c r="D13" s="294" t="e">
        <f ca="1">FTEXT(B13)</f>
        <v>#NAME?</v>
      </c>
      <c r="F13" t="s">
        <v>931</v>
      </c>
      <c r="G13" s="163">
        <f>FINV(1-G12/2,G10,G11)</f>
        <v>0.57788671864724417</v>
      </c>
      <c r="I13" s="294" t="s">
        <v>939</v>
      </c>
    </row>
    <row r="14" spans="1:9" x14ac:dyDescent="0.25">
      <c r="A14" s="53" t="s">
        <v>528</v>
      </c>
      <c r="B14" s="163">
        <f>1-FDIST(B13/B7,B10,B11)</f>
        <v>0.76632434576447162</v>
      </c>
      <c r="D14" s="294" t="e">
        <f ca="1">FTEXT(B14)</f>
        <v>#NAME?</v>
      </c>
      <c r="F14" t="s">
        <v>932</v>
      </c>
      <c r="G14" s="163">
        <f>FINV(G12/2,G10,G11)</f>
        <v>1.7068671005661997</v>
      </c>
      <c r="I14" s="294" t="s">
        <v>940</v>
      </c>
    </row>
    <row r="15" spans="1:9" x14ac:dyDescent="0.25">
      <c r="A15" s="53" t="s">
        <v>843</v>
      </c>
      <c r="B15" s="155">
        <f>1-B14</f>
        <v>0.23367565423552838</v>
      </c>
      <c r="D15" s="294" t="e">
        <f ca="1">FTEXT(B15)</f>
        <v>#NAME?</v>
      </c>
      <c r="F15" s="53" t="s">
        <v>528</v>
      </c>
      <c r="G15" s="163">
        <f>FDIST(G13/G7,G10,G11)-FDIST(G14/G7,G10,G11)</f>
        <v>0.62930802636206673</v>
      </c>
      <c r="I15" s="294" t="s">
        <v>941</v>
      </c>
    </row>
    <row r="16" spans="1:9" x14ac:dyDescent="0.25">
      <c r="F16" s="53" t="s">
        <v>843</v>
      </c>
      <c r="G16" s="155">
        <f>1-G15</f>
        <v>0.37069197363793327</v>
      </c>
      <c r="I16" s="294" t="s">
        <v>942</v>
      </c>
    </row>
    <row r="19" spans="6:9" x14ac:dyDescent="0.25">
      <c r="F19" t="s">
        <v>1002</v>
      </c>
    </row>
    <row r="21" spans="6:9" x14ac:dyDescent="0.25">
      <c r="F21" t="s">
        <v>925</v>
      </c>
      <c r="G21" s="315" t="e">
        <f ca="1">VAR2_POWER(B7,B8,B9,1,B12)</f>
        <v>#NAME?</v>
      </c>
      <c r="I21" s="294" t="s">
        <v>956</v>
      </c>
    </row>
    <row r="22" spans="6:9" x14ac:dyDescent="0.25">
      <c r="F22" t="s">
        <v>926</v>
      </c>
      <c r="G22" s="155" t="e">
        <f ca="1">VAR2_POWER(G7,G8,G9)</f>
        <v>#NAME?</v>
      </c>
      <c r="I22" s="294" t="s">
        <v>957</v>
      </c>
    </row>
    <row r="24" spans="6:9" x14ac:dyDescent="0.25">
      <c r="F24" t="s">
        <v>925</v>
      </c>
      <c r="G24" s="315" t="e">
        <f ca="1">VAR2_SIZE(B7,0.8,1)</f>
        <v>#NAME?</v>
      </c>
      <c r="I24" s="294" t="s">
        <v>958</v>
      </c>
    </row>
    <row r="25" spans="6:9" x14ac:dyDescent="0.25">
      <c r="F25" t="s">
        <v>926</v>
      </c>
      <c r="G25" s="155" t="e">
        <f ca="1">VAR2_SIZE(G7)</f>
        <v>#NAME?</v>
      </c>
      <c r="I25" s="294" t="s">
        <v>959</v>
      </c>
    </row>
  </sheetData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3"/>
  <dimension ref="A1:U109"/>
  <sheetViews>
    <sheetView workbookViewId="0"/>
  </sheetViews>
  <sheetFormatPr defaultRowHeight="15" x14ac:dyDescent="0.25"/>
  <cols>
    <col min="2" max="2" width="9.140625" customWidth="1"/>
    <col min="20" max="20" width="3.5703125" customWidth="1"/>
    <col min="21" max="21" width="26.28515625" customWidth="1"/>
  </cols>
  <sheetData>
    <row r="1" spans="1:21" x14ac:dyDescent="0.25">
      <c r="A1" s="1" t="s">
        <v>1214</v>
      </c>
      <c r="R1" t="s">
        <v>1297</v>
      </c>
    </row>
    <row r="2" spans="1:21" x14ac:dyDescent="0.25">
      <c r="A2" s="1"/>
    </row>
    <row r="3" spans="1:21" x14ac:dyDescent="0.25">
      <c r="A3" s="232" t="s">
        <v>370</v>
      </c>
      <c r="B3">
        <v>5</v>
      </c>
      <c r="D3" s="19" t="s">
        <v>371</v>
      </c>
      <c r="E3">
        <v>10</v>
      </c>
      <c r="R3" t="s">
        <v>262</v>
      </c>
      <c r="S3" s="439">
        <v>0.05</v>
      </c>
    </row>
    <row r="4" spans="1:21" x14ac:dyDescent="0.25">
      <c r="A4" s="1"/>
      <c r="R4" t="s">
        <v>370</v>
      </c>
      <c r="S4" s="163">
        <v>5</v>
      </c>
    </row>
    <row r="5" spans="1:21" x14ac:dyDescent="0.25">
      <c r="A5" s="75" t="s">
        <v>422</v>
      </c>
      <c r="B5">
        <v>0</v>
      </c>
      <c r="C5">
        <v>1</v>
      </c>
      <c r="D5">
        <v>5</v>
      </c>
      <c r="E5">
        <v>10</v>
      </c>
      <c r="F5">
        <v>20</v>
      </c>
      <c r="R5" t="s">
        <v>371</v>
      </c>
      <c r="S5" s="163">
        <v>10</v>
      </c>
    </row>
    <row r="6" spans="1:21" x14ac:dyDescent="0.25">
      <c r="A6" s="75"/>
      <c r="R6" t="s">
        <v>1210</v>
      </c>
      <c r="S6" s="163">
        <v>5</v>
      </c>
    </row>
    <row r="7" spans="1:21" x14ac:dyDescent="0.25">
      <c r="A7" s="19" t="s">
        <v>28</v>
      </c>
      <c r="B7" s="19" t="s">
        <v>839</v>
      </c>
      <c r="C7" s="19" t="s">
        <v>844</v>
      </c>
      <c r="D7" s="19" t="s">
        <v>845</v>
      </c>
      <c r="E7" s="19" t="s">
        <v>846</v>
      </c>
      <c r="F7" s="19" t="s">
        <v>847</v>
      </c>
      <c r="R7" t="s">
        <v>28</v>
      </c>
      <c r="S7" s="163" t="e">
        <f ca="1">NF_INV(S3,S4,S5,S6)</f>
        <v>#NAME?</v>
      </c>
      <c r="U7" t="e">
        <f ca="1">FTEXT(S7)</f>
        <v>#NAME?</v>
      </c>
    </row>
    <row r="8" spans="1:21" x14ac:dyDescent="0.25">
      <c r="A8">
        <v>0</v>
      </c>
      <c r="B8" t="e">
        <f ca="1">NF_DIST($A8,$B$3,$E$3,B$5,FALSE)</f>
        <v>#NAME?</v>
      </c>
      <c r="C8" t="e">
        <f ca="1">NF_DIST($A8,$B$3,$E$3,C$5,FALSE)</f>
        <v>#NAME?</v>
      </c>
      <c r="D8" t="e">
        <f ca="1">NF_DIST($A8,$B$3,$E$3,D$5,FALSE)</f>
        <v>#NAME?</v>
      </c>
      <c r="E8" t="e">
        <f ca="1">NF_DIST($A8,$B$3,$E$3,E$5,FALSE)</f>
        <v>#NAME?</v>
      </c>
      <c r="F8" t="e">
        <f ca="1">NF_DIST($A8,$B$3,$E$3,F$5,FALSE)</f>
        <v>#NAME?</v>
      </c>
      <c r="R8" t="s">
        <v>262</v>
      </c>
      <c r="S8" s="155" t="e">
        <f ca="1">NF_DIST(S7,S4,S5,S6,TRUE)</f>
        <v>#NAME?</v>
      </c>
      <c r="U8" t="e">
        <f ca="1">FTEXT(S8)</f>
        <v>#NAME?</v>
      </c>
    </row>
    <row r="9" spans="1:21" x14ac:dyDescent="0.25">
      <c r="A9">
        <f t="shared" ref="A9:A37" si="0">A8+0.1</f>
        <v>0.1</v>
      </c>
      <c r="B9" t="e">
        <f ca="1">NF_DIST($A9,$B$3,$E$3,B$5,FALSE)</f>
        <v>#NAME?</v>
      </c>
      <c r="C9" t="e">
        <f ca="1">NF_DIST($A9,$B$3,$E$3,C$5,FALSE)</f>
        <v>#NAME?</v>
      </c>
      <c r="D9" t="e">
        <f ca="1">NF_DIST($A9,$B$3,$E$3,D$5,FALSE)</f>
        <v>#NAME?</v>
      </c>
      <c r="E9" t="e">
        <f ca="1">NF_DIST($A9,$B$3,$E$3,E$5,FALSE)</f>
        <v>#NAME?</v>
      </c>
      <c r="F9" t="e">
        <f ca="1">NF_DIST($A9,$B$3,$E$3,F$5,FALSE)</f>
        <v>#NAME?</v>
      </c>
    </row>
    <row r="10" spans="1:21" x14ac:dyDescent="0.25">
      <c r="A10">
        <f t="shared" si="0"/>
        <v>0.2</v>
      </c>
      <c r="B10" t="e">
        <f ca="1">NF_DIST($A10,$B$3,$E$3,B$5,FALSE)</f>
        <v>#NAME?</v>
      </c>
      <c r="C10" t="e">
        <f ca="1">NF_DIST($A10,$B$3,$E$3,C$5,FALSE)</f>
        <v>#NAME?</v>
      </c>
      <c r="D10" t="e">
        <f ca="1">NF_DIST($A10,$B$3,$E$3,D$5,FALSE)</f>
        <v>#NAME?</v>
      </c>
      <c r="E10" t="e">
        <f ca="1">NF_DIST($A10,$B$3,$E$3,E$5,FALSE)</f>
        <v>#NAME?</v>
      </c>
      <c r="F10" t="e">
        <f ca="1">NF_DIST($A10,$B$3,$E$3,F$5,FALSE)</f>
        <v>#NAME?</v>
      </c>
    </row>
    <row r="11" spans="1:21" x14ac:dyDescent="0.25">
      <c r="A11">
        <f t="shared" si="0"/>
        <v>0.30000000000000004</v>
      </c>
      <c r="B11" t="e">
        <f ca="1">NF_DIST($A11,$B$3,$E$3,B$5,FALSE)</f>
        <v>#NAME?</v>
      </c>
      <c r="C11" t="e">
        <f ca="1">NF_DIST($A11,$B$3,$E$3,C$5,FALSE)</f>
        <v>#NAME?</v>
      </c>
      <c r="D11" t="e">
        <f ca="1">NF_DIST($A11,$B$3,$E$3,D$5,FALSE)</f>
        <v>#NAME?</v>
      </c>
      <c r="E11" t="e">
        <f ca="1">NF_DIST($A11,$B$3,$E$3,E$5,FALSE)</f>
        <v>#NAME?</v>
      </c>
      <c r="F11" t="e">
        <f ca="1">NF_DIST($A11,$B$3,$E$3,F$5,FALSE)</f>
        <v>#NAME?</v>
      </c>
    </row>
    <row r="12" spans="1:21" x14ac:dyDescent="0.25">
      <c r="A12">
        <f t="shared" si="0"/>
        <v>0.4</v>
      </c>
      <c r="B12" t="e">
        <f ca="1">NF_DIST($A12,$B$3,$E$3,B$5,FALSE)</f>
        <v>#NAME?</v>
      </c>
      <c r="C12" t="e">
        <f ca="1">NF_DIST($A12,$B$3,$E$3,C$5,FALSE)</f>
        <v>#NAME?</v>
      </c>
      <c r="D12" t="e">
        <f ca="1">NF_DIST($A12,$B$3,$E$3,D$5,FALSE)</f>
        <v>#NAME?</v>
      </c>
      <c r="E12" t="e">
        <f ca="1">NF_DIST($A12,$B$3,$E$3,E$5,FALSE)</f>
        <v>#NAME?</v>
      </c>
      <c r="F12" t="e">
        <f ca="1">NF_DIST($A12,$B$3,$E$3,F$5,FALSE)</f>
        <v>#NAME?</v>
      </c>
    </row>
    <row r="13" spans="1:21" x14ac:dyDescent="0.25">
      <c r="A13">
        <f t="shared" si="0"/>
        <v>0.5</v>
      </c>
      <c r="B13" t="e">
        <f ca="1">NF_DIST($A13,$B$3,$E$3,B$5,FALSE)</f>
        <v>#NAME?</v>
      </c>
      <c r="C13" t="e">
        <f ca="1">NF_DIST($A13,$B$3,$E$3,C$5,FALSE)</f>
        <v>#NAME?</v>
      </c>
      <c r="D13" t="e">
        <f ca="1">NF_DIST($A13,$B$3,$E$3,D$5,FALSE)</f>
        <v>#NAME?</v>
      </c>
      <c r="E13" t="e">
        <f ca="1">NF_DIST($A13,$B$3,$E$3,E$5,FALSE)</f>
        <v>#NAME?</v>
      </c>
      <c r="F13" t="e">
        <f ca="1">NF_DIST($A13,$B$3,$E$3,F$5,FALSE)</f>
        <v>#NAME?</v>
      </c>
    </row>
    <row r="14" spans="1:21" x14ac:dyDescent="0.25">
      <c r="A14">
        <f t="shared" si="0"/>
        <v>0.6</v>
      </c>
      <c r="B14" t="e">
        <f ca="1">NF_DIST($A14,$B$3,$E$3,B$5,FALSE)</f>
        <v>#NAME?</v>
      </c>
      <c r="C14" t="e">
        <f ca="1">NF_DIST($A14,$B$3,$E$3,C$5,FALSE)</f>
        <v>#NAME?</v>
      </c>
      <c r="D14" t="e">
        <f ca="1">NF_DIST($A14,$B$3,$E$3,D$5,FALSE)</f>
        <v>#NAME?</v>
      </c>
      <c r="E14" t="e">
        <f ca="1">NF_DIST($A14,$B$3,$E$3,E$5,FALSE)</f>
        <v>#NAME?</v>
      </c>
      <c r="F14" t="e">
        <f ca="1">NF_DIST($A14,$B$3,$E$3,F$5,FALSE)</f>
        <v>#NAME?</v>
      </c>
    </row>
    <row r="15" spans="1:21" x14ac:dyDescent="0.25">
      <c r="A15">
        <f t="shared" si="0"/>
        <v>0.7</v>
      </c>
      <c r="B15" t="e">
        <f ca="1">NF_DIST($A15,$B$3,$E$3,B$5,FALSE)</f>
        <v>#NAME?</v>
      </c>
      <c r="C15" t="e">
        <f ca="1">NF_DIST($A15,$B$3,$E$3,C$5,FALSE)</f>
        <v>#NAME?</v>
      </c>
      <c r="D15" t="e">
        <f ca="1">NF_DIST($A15,$B$3,$E$3,D$5,FALSE)</f>
        <v>#NAME?</v>
      </c>
      <c r="E15" t="e">
        <f ca="1">NF_DIST($A15,$B$3,$E$3,E$5,FALSE)</f>
        <v>#NAME?</v>
      </c>
      <c r="F15" t="e">
        <f ca="1">NF_DIST($A15,$B$3,$E$3,F$5,FALSE)</f>
        <v>#NAME?</v>
      </c>
    </row>
    <row r="16" spans="1:21" x14ac:dyDescent="0.25">
      <c r="A16">
        <f t="shared" si="0"/>
        <v>0.79999999999999993</v>
      </c>
      <c r="B16" t="e">
        <f ca="1">NF_DIST($A16,$B$3,$E$3,B$5,FALSE)</f>
        <v>#NAME?</v>
      </c>
      <c r="C16" t="e">
        <f ca="1">NF_DIST($A16,$B$3,$E$3,C$5,FALSE)</f>
        <v>#NAME?</v>
      </c>
      <c r="D16" t="e">
        <f ca="1">NF_DIST($A16,$B$3,$E$3,D$5,FALSE)</f>
        <v>#NAME?</v>
      </c>
      <c r="E16" t="e">
        <f ca="1">NF_DIST($A16,$B$3,$E$3,E$5,FALSE)</f>
        <v>#NAME?</v>
      </c>
      <c r="F16" t="e">
        <f ca="1">NF_DIST($A16,$B$3,$E$3,F$5,FALSE)</f>
        <v>#NAME?</v>
      </c>
    </row>
    <row r="17" spans="1:6" x14ac:dyDescent="0.25">
      <c r="A17">
        <f t="shared" si="0"/>
        <v>0.89999999999999991</v>
      </c>
      <c r="B17" t="e">
        <f ca="1">NF_DIST($A17,$B$3,$E$3,B$5,FALSE)</f>
        <v>#NAME?</v>
      </c>
      <c r="C17" t="e">
        <f ca="1">NF_DIST($A17,$B$3,$E$3,C$5,FALSE)</f>
        <v>#NAME?</v>
      </c>
      <c r="D17" t="e">
        <f ca="1">NF_DIST($A17,$B$3,$E$3,D$5,FALSE)</f>
        <v>#NAME?</v>
      </c>
      <c r="E17" t="e">
        <f ca="1">NF_DIST($A17,$B$3,$E$3,E$5,FALSE)</f>
        <v>#NAME?</v>
      </c>
      <c r="F17" t="e">
        <f ca="1">NF_DIST($A17,$B$3,$E$3,F$5,FALSE)</f>
        <v>#NAME?</v>
      </c>
    </row>
    <row r="18" spans="1:6" x14ac:dyDescent="0.25">
      <c r="A18">
        <f t="shared" si="0"/>
        <v>0.99999999999999989</v>
      </c>
      <c r="B18" t="e">
        <f ca="1">NF_DIST($A18,$B$3,$E$3,B$5,FALSE)</f>
        <v>#NAME?</v>
      </c>
      <c r="C18" t="e">
        <f ca="1">NF_DIST($A18,$B$3,$E$3,C$5,FALSE)</f>
        <v>#NAME?</v>
      </c>
      <c r="D18" t="e">
        <f ca="1">NF_DIST($A18,$B$3,$E$3,D$5,FALSE)</f>
        <v>#NAME?</v>
      </c>
      <c r="E18" t="e">
        <f ca="1">NF_DIST($A18,$B$3,$E$3,E$5,FALSE)</f>
        <v>#NAME?</v>
      </c>
      <c r="F18" t="e">
        <f ca="1">NF_DIST($A18,$B$3,$E$3,F$5,FALSE)</f>
        <v>#NAME?</v>
      </c>
    </row>
    <row r="19" spans="1:6" x14ac:dyDescent="0.25">
      <c r="A19">
        <f t="shared" si="0"/>
        <v>1.0999999999999999</v>
      </c>
      <c r="B19" t="e">
        <f ca="1">NF_DIST($A19,$B$3,$E$3,B$5,FALSE)</f>
        <v>#NAME?</v>
      </c>
      <c r="C19" t="e">
        <f ca="1">NF_DIST($A19,$B$3,$E$3,C$5,FALSE)</f>
        <v>#NAME?</v>
      </c>
      <c r="D19" t="e">
        <f ca="1">NF_DIST($A19,$B$3,$E$3,D$5,FALSE)</f>
        <v>#NAME?</v>
      </c>
      <c r="E19" t="e">
        <f ca="1">NF_DIST($A19,$B$3,$E$3,E$5,FALSE)</f>
        <v>#NAME?</v>
      </c>
      <c r="F19" t="e">
        <f ca="1">NF_DIST($A19,$B$3,$E$3,F$5,FALSE)</f>
        <v>#NAME?</v>
      </c>
    </row>
    <row r="20" spans="1:6" x14ac:dyDescent="0.25">
      <c r="A20">
        <f t="shared" si="0"/>
        <v>1.2</v>
      </c>
      <c r="B20" t="e">
        <f ca="1">NF_DIST($A20,$B$3,$E$3,B$5,FALSE)</f>
        <v>#NAME?</v>
      </c>
      <c r="C20" t="e">
        <f ca="1">NF_DIST($A20,$B$3,$E$3,C$5,FALSE)</f>
        <v>#NAME?</v>
      </c>
      <c r="D20" t="e">
        <f ca="1">NF_DIST($A20,$B$3,$E$3,D$5,FALSE)</f>
        <v>#NAME?</v>
      </c>
      <c r="E20" t="e">
        <f ca="1">NF_DIST($A20,$B$3,$E$3,E$5,FALSE)</f>
        <v>#NAME?</v>
      </c>
      <c r="F20" t="e">
        <f ca="1">NF_DIST($A20,$B$3,$E$3,F$5,FALSE)</f>
        <v>#NAME?</v>
      </c>
    </row>
    <row r="21" spans="1:6" x14ac:dyDescent="0.25">
      <c r="A21">
        <f t="shared" si="0"/>
        <v>1.3</v>
      </c>
      <c r="B21" t="e">
        <f ca="1">NF_DIST($A21,$B$3,$E$3,B$5,FALSE)</f>
        <v>#NAME?</v>
      </c>
      <c r="C21" t="e">
        <f ca="1">NF_DIST($A21,$B$3,$E$3,C$5,FALSE)</f>
        <v>#NAME?</v>
      </c>
      <c r="D21" t="e">
        <f ca="1">NF_DIST($A21,$B$3,$E$3,D$5,FALSE)</f>
        <v>#NAME?</v>
      </c>
      <c r="E21" t="e">
        <f ca="1">NF_DIST($A21,$B$3,$E$3,E$5,FALSE)</f>
        <v>#NAME?</v>
      </c>
      <c r="F21" t="e">
        <f ca="1">NF_DIST($A21,$B$3,$E$3,F$5,FALSE)</f>
        <v>#NAME?</v>
      </c>
    </row>
    <row r="22" spans="1:6" x14ac:dyDescent="0.25">
      <c r="A22">
        <f t="shared" si="0"/>
        <v>1.4000000000000001</v>
      </c>
      <c r="B22" t="e">
        <f ca="1">NF_DIST($A22,$B$3,$E$3,B$5,FALSE)</f>
        <v>#NAME?</v>
      </c>
      <c r="C22" t="e">
        <f ca="1">NF_DIST($A22,$B$3,$E$3,C$5,FALSE)</f>
        <v>#NAME?</v>
      </c>
      <c r="D22" t="e">
        <f ca="1">NF_DIST($A22,$B$3,$E$3,D$5,FALSE)</f>
        <v>#NAME?</v>
      </c>
      <c r="E22" t="e">
        <f ca="1">NF_DIST($A22,$B$3,$E$3,E$5,FALSE)</f>
        <v>#NAME?</v>
      </c>
      <c r="F22" t="e">
        <f ca="1">NF_DIST($A22,$B$3,$E$3,F$5,FALSE)</f>
        <v>#NAME?</v>
      </c>
    </row>
    <row r="23" spans="1:6" x14ac:dyDescent="0.25">
      <c r="A23">
        <f t="shared" si="0"/>
        <v>1.5000000000000002</v>
      </c>
      <c r="B23" t="e">
        <f ca="1">NF_DIST($A23,$B$3,$E$3,B$5,FALSE)</f>
        <v>#NAME?</v>
      </c>
      <c r="C23" t="e">
        <f ca="1">NF_DIST($A23,$B$3,$E$3,C$5,FALSE)</f>
        <v>#NAME?</v>
      </c>
      <c r="D23" t="e">
        <f ca="1">NF_DIST($A23,$B$3,$E$3,D$5,FALSE)</f>
        <v>#NAME?</v>
      </c>
      <c r="E23" t="e">
        <f ca="1">NF_DIST($A23,$B$3,$E$3,E$5,FALSE)</f>
        <v>#NAME?</v>
      </c>
      <c r="F23" t="e">
        <f ca="1">NF_DIST($A23,$B$3,$E$3,F$5,FALSE)</f>
        <v>#NAME?</v>
      </c>
    </row>
    <row r="24" spans="1:6" x14ac:dyDescent="0.25">
      <c r="A24">
        <f t="shared" si="0"/>
        <v>1.6000000000000003</v>
      </c>
      <c r="B24" t="e">
        <f ca="1">NF_DIST($A24,$B$3,$E$3,B$5,FALSE)</f>
        <v>#NAME?</v>
      </c>
      <c r="C24" t="e">
        <f ca="1">NF_DIST($A24,$B$3,$E$3,C$5,FALSE)</f>
        <v>#NAME?</v>
      </c>
      <c r="D24" t="e">
        <f ca="1">NF_DIST($A24,$B$3,$E$3,D$5,FALSE)</f>
        <v>#NAME?</v>
      </c>
      <c r="E24" t="e">
        <f ca="1">NF_DIST($A24,$B$3,$E$3,E$5,FALSE)</f>
        <v>#NAME?</v>
      </c>
      <c r="F24" t="e">
        <f ca="1">NF_DIST($A24,$B$3,$E$3,F$5,FALSE)</f>
        <v>#NAME?</v>
      </c>
    </row>
    <row r="25" spans="1:6" x14ac:dyDescent="0.25">
      <c r="A25">
        <f t="shared" si="0"/>
        <v>1.7000000000000004</v>
      </c>
      <c r="B25" t="e">
        <f ca="1">NF_DIST($A25,$B$3,$E$3,B$5,FALSE)</f>
        <v>#NAME?</v>
      </c>
      <c r="C25" t="e">
        <f ca="1">NF_DIST($A25,$B$3,$E$3,C$5,FALSE)</f>
        <v>#NAME?</v>
      </c>
      <c r="D25" t="e">
        <f ca="1">NF_DIST($A25,$B$3,$E$3,D$5,FALSE)</f>
        <v>#NAME?</v>
      </c>
      <c r="E25" t="e">
        <f ca="1">NF_DIST($A25,$B$3,$E$3,E$5,FALSE)</f>
        <v>#NAME?</v>
      </c>
      <c r="F25" t="e">
        <f ca="1">NF_DIST($A25,$B$3,$E$3,F$5,FALSE)</f>
        <v>#NAME?</v>
      </c>
    </row>
    <row r="26" spans="1:6" x14ac:dyDescent="0.25">
      <c r="A26">
        <f t="shared" si="0"/>
        <v>1.8000000000000005</v>
      </c>
      <c r="B26" t="e">
        <f ca="1">NF_DIST($A26,$B$3,$E$3,B$5,FALSE)</f>
        <v>#NAME?</v>
      </c>
      <c r="C26" t="e">
        <f ca="1">NF_DIST($A26,$B$3,$E$3,C$5,FALSE)</f>
        <v>#NAME?</v>
      </c>
      <c r="D26" t="e">
        <f ca="1">NF_DIST($A26,$B$3,$E$3,D$5,FALSE)</f>
        <v>#NAME?</v>
      </c>
      <c r="E26" t="e">
        <f ca="1">NF_DIST($A26,$B$3,$E$3,E$5,FALSE)</f>
        <v>#NAME?</v>
      </c>
      <c r="F26" t="e">
        <f ca="1">NF_DIST($A26,$B$3,$E$3,F$5,FALSE)</f>
        <v>#NAME?</v>
      </c>
    </row>
    <row r="27" spans="1:6" x14ac:dyDescent="0.25">
      <c r="A27">
        <f t="shared" si="0"/>
        <v>1.9000000000000006</v>
      </c>
      <c r="B27" t="e">
        <f ca="1">NF_DIST($A27,$B$3,$E$3,B$5,FALSE)</f>
        <v>#NAME?</v>
      </c>
      <c r="C27" t="e">
        <f ca="1">NF_DIST($A27,$B$3,$E$3,C$5,FALSE)</f>
        <v>#NAME?</v>
      </c>
      <c r="D27" t="e">
        <f ca="1">NF_DIST($A27,$B$3,$E$3,D$5,FALSE)</f>
        <v>#NAME?</v>
      </c>
      <c r="E27" t="e">
        <f ca="1">NF_DIST($A27,$B$3,$E$3,E$5,FALSE)</f>
        <v>#NAME?</v>
      </c>
      <c r="F27" t="e">
        <f ca="1">NF_DIST($A27,$B$3,$E$3,F$5,FALSE)</f>
        <v>#NAME?</v>
      </c>
    </row>
    <row r="28" spans="1:6" x14ac:dyDescent="0.25">
      <c r="A28">
        <f t="shared" si="0"/>
        <v>2.0000000000000004</v>
      </c>
      <c r="B28" t="e">
        <f ca="1">NF_DIST($A28,$B$3,$E$3,B$5,FALSE)</f>
        <v>#NAME?</v>
      </c>
      <c r="C28" t="e">
        <f ca="1">NF_DIST($A28,$B$3,$E$3,C$5,FALSE)</f>
        <v>#NAME?</v>
      </c>
      <c r="D28" t="e">
        <f ca="1">NF_DIST($A28,$B$3,$E$3,D$5,FALSE)</f>
        <v>#NAME?</v>
      </c>
      <c r="E28" t="e">
        <f ca="1">NF_DIST($A28,$B$3,$E$3,E$5,FALSE)</f>
        <v>#NAME?</v>
      </c>
      <c r="F28" t="e">
        <f ca="1">NF_DIST($A28,$B$3,$E$3,F$5,FALSE)</f>
        <v>#NAME?</v>
      </c>
    </row>
    <row r="29" spans="1:6" x14ac:dyDescent="0.25">
      <c r="A29">
        <f t="shared" si="0"/>
        <v>2.1000000000000005</v>
      </c>
      <c r="B29" t="e">
        <f ca="1">NF_DIST($A29,$B$3,$E$3,B$5,FALSE)</f>
        <v>#NAME?</v>
      </c>
      <c r="C29" t="e">
        <f ca="1">NF_DIST($A29,$B$3,$E$3,C$5,FALSE)</f>
        <v>#NAME?</v>
      </c>
      <c r="D29" t="e">
        <f ca="1">NF_DIST($A29,$B$3,$E$3,D$5,FALSE)</f>
        <v>#NAME?</v>
      </c>
      <c r="E29" t="e">
        <f ca="1">NF_DIST($A29,$B$3,$E$3,E$5,FALSE)</f>
        <v>#NAME?</v>
      </c>
      <c r="F29" t="e">
        <f ca="1">NF_DIST($A29,$B$3,$E$3,F$5,FALSE)</f>
        <v>#NAME?</v>
      </c>
    </row>
    <row r="30" spans="1:6" x14ac:dyDescent="0.25">
      <c r="A30">
        <f t="shared" si="0"/>
        <v>2.2000000000000006</v>
      </c>
      <c r="B30" t="e">
        <f ca="1">NF_DIST($A30,$B$3,$E$3,B$5,FALSE)</f>
        <v>#NAME?</v>
      </c>
      <c r="C30" t="e">
        <f ca="1">NF_DIST($A30,$B$3,$E$3,C$5,FALSE)</f>
        <v>#NAME?</v>
      </c>
      <c r="D30" t="e">
        <f ca="1">NF_DIST($A30,$B$3,$E$3,D$5,FALSE)</f>
        <v>#NAME?</v>
      </c>
      <c r="E30" t="e">
        <f ca="1">NF_DIST($A30,$B$3,$E$3,E$5,FALSE)</f>
        <v>#NAME?</v>
      </c>
      <c r="F30" t="e">
        <f ca="1">NF_DIST($A30,$B$3,$E$3,F$5,FALSE)</f>
        <v>#NAME?</v>
      </c>
    </row>
    <row r="31" spans="1:6" x14ac:dyDescent="0.25">
      <c r="A31">
        <f t="shared" si="0"/>
        <v>2.3000000000000007</v>
      </c>
      <c r="B31" t="e">
        <f ca="1">NF_DIST($A31,$B$3,$E$3,B$5,FALSE)</f>
        <v>#NAME?</v>
      </c>
      <c r="C31" t="e">
        <f ca="1">NF_DIST($A31,$B$3,$E$3,C$5,FALSE)</f>
        <v>#NAME?</v>
      </c>
      <c r="D31" t="e">
        <f ca="1">NF_DIST($A31,$B$3,$E$3,D$5,FALSE)</f>
        <v>#NAME?</v>
      </c>
      <c r="E31" t="e">
        <f ca="1">NF_DIST($A31,$B$3,$E$3,E$5,FALSE)</f>
        <v>#NAME?</v>
      </c>
      <c r="F31" t="e">
        <f ca="1">NF_DIST($A31,$B$3,$E$3,F$5,FALSE)</f>
        <v>#NAME?</v>
      </c>
    </row>
    <row r="32" spans="1:6" x14ac:dyDescent="0.25">
      <c r="A32">
        <f t="shared" si="0"/>
        <v>2.4000000000000008</v>
      </c>
      <c r="B32" t="e">
        <f ca="1">NF_DIST($A32,$B$3,$E$3,B$5,FALSE)</f>
        <v>#NAME?</v>
      </c>
      <c r="C32" t="e">
        <f ca="1">NF_DIST($A32,$B$3,$E$3,C$5,FALSE)</f>
        <v>#NAME?</v>
      </c>
      <c r="D32" t="e">
        <f ca="1">NF_DIST($A32,$B$3,$E$3,D$5,FALSE)</f>
        <v>#NAME?</v>
      </c>
      <c r="E32" t="e">
        <f ca="1">NF_DIST($A32,$B$3,$E$3,E$5,FALSE)</f>
        <v>#NAME?</v>
      </c>
      <c r="F32" t="e">
        <f ca="1">NF_DIST($A32,$B$3,$E$3,F$5,FALSE)</f>
        <v>#NAME?</v>
      </c>
    </row>
    <row r="33" spans="1:6" x14ac:dyDescent="0.25">
      <c r="A33">
        <f t="shared" si="0"/>
        <v>2.5000000000000009</v>
      </c>
      <c r="B33" t="e">
        <f ca="1">NF_DIST($A33,$B$3,$E$3,B$5,FALSE)</f>
        <v>#NAME?</v>
      </c>
      <c r="C33" t="e">
        <f ca="1">NF_DIST($A33,$B$3,$E$3,C$5,FALSE)</f>
        <v>#NAME?</v>
      </c>
      <c r="D33" t="e">
        <f ca="1">NF_DIST($A33,$B$3,$E$3,D$5,FALSE)</f>
        <v>#NAME?</v>
      </c>
      <c r="E33" t="e">
        <f ca="1">NF_DIST($A33,$B$3,$E$3,E$5,FALSE)</f>
        <v>#NAME?</v>
      </c>
      <c r="F33" t="e">
        <f ca="1">NF_DIST($A33,$B$3,$E$3,F$5,FALSE)</f>
        <v>#NAME?</v>
      </c>
    </row>
    <row r="34" spans="1:6" x14ac:dyDescent="0.25">
      <c r="A34">
        <f t="shared" si="0"/>
        <v>2.600000000000001</v>
      </c>
      <c r="B34" t="e">
        <f ca="1">NF_DIST($A34,$B$3,$E$3,B$5,FALSE)</f>
        <v>#NAME?</v>
      </c>
      <c r="C34" t="e">
        <f ca="1">NF_DIST($A34,$B$3,$E$3,C$5,FALSE)</f>
        <v>#NAME?</v>
      </c>
      <c r="D34" t="e">
        <f ca="1">NF_DIST($A34,$B$3,$E$3,D$5,FALSE)</f>
        <v>#NAME?</v>
      </c>
      <c r="E34" t="e">
        <f ca="1">NF_DIST($A34,$B$3,$E$3,E$5,FALSE)</f>
        <v>#NAME?</v>
      </c>
      <c r="F34" t="e">
        <f ca="1">NF_DIST($A34,$B$3,$E$3,F$5,FALSE)</f>
        <v>#NAME?</v>
      </c>
    </row>
    <row r="35" spans="1:6" x14ac:dyDescent="0.25">
      <c r="A35">
        <f t="shared" si="0"/>
        <v>2.7000000000000011</v>
      </c>
      <c r="B35" t="e">
        <f ca="1">NF_DIST($A35,$B$3,$E$3,B$5,FALSE)</f>
        <v>#NAME?</v>
      </c>
      <c r="C35" t="e">
        <f ca="1">NF_DIST($A35,$B$3,$E$3,C$5,FALSE)</f>
        <v>#NAME?</v>
      </c>
      <c r="D35" t="e">
        <f ca="1">NF_DIST($A35,$B$3,$E$3,D$5,FALSE)</f>
        <v>#NAME?</v>
      </c>
      <c r="E35" t="e">
        <f ca="1">NF_DIST($A35,$B$3,$E$3,E$5,FALSE)</f>
        <v>#NAME?</v>
      </c>
      <c r="F35" t="e">
        <f ca="1">NF_DIST($A35,$B$3,$E$3,F$5,FALSE)</f>
        <v>#NAME?</v>
      </c>
    </row>
    <row r="36" spans="1:6" x14ac:dyDescent="0.25">
      <c r="A36">
        <f t="shared" si="0"/>
        <v>2.8000000000000012</v>
      </c>
      <c r="B36" t="e">
        <f ca="1">NF_DIST($A36,$B$3,$E$3,B$5,FALSE)</f>
        <v>#NAME?</v>
      </c>
      <c r="C36" t="e">
        <f ca="1">NF_DIST($A36,$B$3,$E$3,C$5,FALSE)</f>
        <v>#NAME?</v>
      </c>
      <c r="D36" t="e">
        <f ca="1">NF_DIST($A36,$B$3,$E$3,D$5,FALSE)</f>
        <v>#NAME?</v>
      </c>
      <c r="E36" t="e">
        <f ca="1">NF_DIST($A36,$B$3,$E$3,E$5,FALSE)</f>
        <v>#NAME?</v>
      </c>
      <c r="F36" t="e">
        <f ca="1">NF_DIST($A36,$B$3,$E$3,F$5,FALSE)</f>
        <v>#NAME?</v>
      </c>
    </row>
    <row r="37" spans="1:6" x14ac:dyDescent="0.25">
      <c r="A37">
        <f t="shared" si="0"/>
        <v>2.9000000000000012</v>
      </c>
      <c r="B37" t="e">
        <f ca="1">NF_DIST($A37,$B$3,$E$3,B$5,FALSE)</f>
        <v>#NAME?</v>
      </c>
      <c r="C37" t="e">
        <f ca="1">NF_DIST($A37,$B$3,$E$3,C$5,FALSE)</f>
        <v>#NAME?</v>
      </c>
      <c r="D37" t="e">
        <f ca="1">NF_DIST($A37,$B$3,$E$3,D$5,FALSE)</f>
        <v>#NAME?</v>
      </c>
      <c r="E37" t="e">
        <f ca="1">NF_DIST($A37,$B$3,$E$3,E$5,FALSE)</f>
        <v>#NAME?</v>
      </c>
      <c r="F37" t="e">
        <f ca="1">NF_DIST($A37,$B$3,$E$3,F$5,FALSE)</f>
        <v>#NAME?</v>
      </c>
    </row>
    <row r="38" spans="1:6" x14ac:dyDescent="0.25">
      <c r="A38">
        <f t="shared" ref="A38:A101" si="1">A37+0.1</f>
        <v>3.0000000000000013</v>
      </c>
      <c r="B38" t="e">
        <f ca="1">NF_DIST($A38,$B$3,$E$3,B$5,FALSE)</f>
        <v>#NAME?</v>
      </c>
      <c r="C38" t="e">
        <f ca="1">NF_DIST($A38,$B$3,$E$3,C$5,FALSE)</f>
        <v>#NAME?</v>
      </c>
      <c r="D38" t="e">
        <f ca="1">NF_DIST($A38,$B$3,$E$3,D$5,FALSE)</f>
        <v>#NAME?</v>
      </c>
      <c r="E38" t="e">
        <f ca="1">NF_DIST($A38,$B$3,$E$3,E$5,FALSE)</f>
        <v>#NAME?</v>
      </c>
      <c r="F38" t="e">
        <f ca="1">NF_DIST($A38,$B$3,$E$3,F$5,FALSE)</f>
        <v>#NAME?</v>
      </c>
    </row>
    <row r="39" spans="1:6" x14ac:dyDescent="0.25">
      <c r="A39">
        <f t="shared" si="1"/>
        <v>3.1000000000000014</v>
      </c>
      <c r="B39" t="e">
        <f ca="1">NF_DIST($A39,$B$3,$E$3,B$5,FALSE)</f>
        <v>#NAME?</v>
      </c>
      <c r="C39" t="e">
        <f ca="1">NF_DIST($A39,$B$3,$E$3,C$5,FALSE)</f>
        <v>#NAME?</v>
      </c>
      <c r="D39" t="e">
        <f ca="1">NF_DIST($A39,$B$3,$E$3,D$5,FALSE)</f>
        <v>#NAME?</v>
      </c>
      <c r="E39" t="e">
        <f ca="1">NF_DIST($A39,$B$3,$E$3,E$5,FALSE)</f>
        <v>#NAME?</v>
      </c>
      <c r="F39" t="e">
        <f ca="1">NF_DIST($A39,$B$3,$E$3,F$5,FALSE)</f>
        <v>#NAME?</v>
      </c>
    </row>
    <row r="40" spans="1:6" x14ac:dyDescent="0.25">
      <c r="A40">
        <f t="shared" si="1"/>
        <v>3.2000000000000015</v>
      </c>
      <c r="B40" t="e">
        <f ca="1">NF_DIST($A40,$B$3,$E$3,B$5,FALSE)</f>
        <v>#NAME?</v>
      </c>
      <c r="C40" t="e">
        <f ca="1">NF_DIST($A40,$B$3,$E$3,C$5,FALSE)</f>
        <v>#NAME?</v>
      </c>
      <c r="D40" t="e">
        <f ca="1">NF_DIST($A40,$B$3,$E$3,D$5,FALSE)</f>
        <v>#NAME?</v>
      </c>
      <c r="E40" t="e">
        <f ca="1">NF_DIST($A40,$B$3,$E$3,E$5,FALSE)</f>
        <v>#NAME?</v>
      </c>
      <c r="F40" t="e">
        <f ca="1">NF_DIST($A40,$B$3,$E$3,F$5,FALSE)</f>
        <v>#NAME?</v>
      </c>
    </row>
    <row r="41" spans="1:6" x14ac:dyDescent="0.25">
      <c r="A41">
        <f t="shared" si="1"/>
        <v>3.3000000000000016</v>
      </c>
      <c r="B41" t="e">
        <f ca="1">NF_DIST($A41,$B$3,$E$3,B$5,FALSE)</f>
        <v>#NAME?</v>
      </c>
      <c r="C41" t="e">
        <f ca="1">NF_DIST($A41,$B$3,$E$3,C$5,FALSE)</f>
        <v>#NAME?</v>
      </c>
      <c r="D41" t="e">
        <f ca="1">NF_DIST($A41,$B$3,$E$3,D$5,FALSE)</f>
        <v>#NAME?</v>
      </c>
      <c r="E41" t="e">
        <f ca="1">NF_DIST($A41,$B$3,$E$3,E$5,FALSE)</f>
        <v>#NAME?</v>
      </c>
      <c r="F41" t="e">
        <f ca="1">NF_DIST($A41,$B$3,$E$3,F$5,FALSE)</f>
        <v>#NAME?</v>
      </c>
    </row>
    <row r="42" spans="1:6" x14ac:dyDescent="0.25">
      <c r="A42">
        <f t="shared" si="1"/>
        <v>3.4000000000000017</v>
      </c>
      <c r="B42" t="e">
        <f ca="1">NF_DIST($A42,$B$3,$E$3,B$5,FALSE)</f>
        <v>#NAME?</v>
      </c>
      <c r="C42" t="e">
        <f ca="1">NF_DIST($A42,$B$3,$E$3,C$5,FALSE)</f>
        <v>#NAME?</v>
      </c>
      <c r="D42" t="e">
        <f ca="1">NF_DIST($A42,$B$3,$E$3,D$5,FALSE)</f>
        <v>#NAME?</v>
      </c>
      <c r="E42" t="e">
        <f ca="1">NF_DIST($A42,$B$3,$E$3,E$5,FALSE)</f>
        <v>#NAME?</v>
      </c>
      <c r="F42" t="e">
        <f ca="1">NF_DIST($A42,$B$3,$E$3,F$5,FALSE)</f>
        <v>#NAME?</v>
      </c>
    </row>
    <row r="43" spans="1:6" x14ac:dyDescent="0.25">
      <c r="A43">
        <f t="shared" si="1"/>
        <v>3.5000000000000018</v>
      </c>
      <c r="B43" t="e">
        <f ca="1">NF_DIST($A43,$B$3,$E$3,B$5,FALSE)</f>
        <v>#NAME?</v>
      </c>
      <c r="C43" t="e">
        <f ca="1">NF_DIST($A43,$B$3,$E$3,C$5,FALSE)</f>
        <v>#NAME?</v>
      </c>
      <c r="D43" t="e">
        <f ca="1">NF_DIST($A43,$B$3,$E$3,D$5,FALSE)</f>
        <v>#NAME?</v>
      </c>
      <c r="E43" t="e">
        <f ca="1">NF_DIST($A43,$B$3,$E$3,E$5,FALSE)</f>
        <v>#NAME?</v>
      </c>
      <c r="F43" t="e">
        <f ca="1">NF_DIST($A43,$B$3,$E$3,F$5,FALSE)</f>
        <v>#NAME?</v>
      </c>
    </row>
    <row r="44" spans="1:6" x14ac:dyDescent="0.25">
      <c r="A44">
        <f t="shared" si="1"/>
        <v>3.6000000000000019</v>
      </c>
      <c r="B44" t="e">
        <f ca="1">NF_DIST($A44,$B$3,$E$3,B$5,FALSE)</f>
        <v>#NAME?</v>
      </c>
      <c r="C44" t="e">
        <f ca="1">NF_DIST($A44,$B$3,$E$3,C$5,FALSE)</f>
        <v>#NAME?</v>
      </c>
      <c r="D44" t="e">
        <f ca="1">NF_DIST($A44,$B$3,$E$3,D$5,FALSE)</f>
        <v>#NAME?</v>
      </c>
      <c r="E44" t="e">
        <f ca="1">NF_DIST($A44,$B$3,$E$3,E$5,FALSE)</f>
        <v>#NAME?</v>
      </c>
      <c r="F44" t="e">
        <f ca="1">NF_DIST($A44,$B$3,$E$3,F$5,FALSE)</f>
        <v>#NAME?</v>
      </c>
    </row>
    <row r="45" spans="1:6" x14ac:dyDescent="0.25">
      <c r="A45">
        <f t="shared" si="1"/>
        <v>3.700000000000002</v>
      </c>
      <c r="B45" t="e">
        <f ca="1">NF_DIST($A45,$B$3,$E$3,B$5,FALSE)</f>
        <v>#NAME?</v>
      </c>
      <c r="C45" t="e">
        <f ca="1">NF_DIST($A45,$B$3,$E$3,C$5,FALSE)</f>
        <v>#NAME?</v>
      </c>
      <c r="D45" t="e">
        <f ca="1">NF_DIST($A45,$B$3,$E$3,D$5,FALSE)</f>
        <v>#NAME?</v>
      </c>
      <c r="E45" t="e">
        <f ca="1">NF_DIST($A45,$B$3,$E$3,E$5,FALSE)</f>
        <v>#NAME?</v>
      </c>
      <c r="F45" t="e">
        <f ca="1">NF_DIST($A45,$B$3,$E$3,F$5,FALSE)</f>
        <v>#NAME?</v>
      </c>
    </row>
    <row r="46" spans="1:6" x14ac:dyDescent="0.25">
      <c r="A46">
        <f t="shared" si="1"/>
        <v>3.800000000000002</v>
      </c>
      <c r="B46" t="e">
        <f ca="1">NF_DIST($A46,$B$3,$E$3,B$5,FALSE)</f>
        <v>#NAME?</v>
      </c>
      <c r="C46" t="e">
        <f ca="1">NF_DIST($A46,$B$3,$E$3,C$5,FALSE)</f>
        <v>#NAME?</v>
      </c>
      <c r="D46" t="e">
        <f ca="1">NF_DIST($A46,$B$3,$E$3,D$5,FALSE)</f>
        <v>#NAME?</v>
      </c>
      <c r="E46" t="e">
        <f ca="1">NF_DIST($A46,$B$3,$E$3,E$5,FALSE)</f>
        <v>#NAME?</v>
      </c>
      <c r="F46" t="e">
        <f ca="1">NF_DIST($A46,$B$3,$E$3,F$5,FALSE)</f>
        <v>#NAME?</v>
      </c>
    </row>
    <row r="47" spans="1:6" x14ac:dyDescent="0.25">
      <c r="A47">
        <f t="shared" si="1"/>
        <v>3.9000000000000021</v>
      </c>
      <c r="B47" t="e">
        <f ca="1">NF_DIST($A47,$B$3,$E$3,B$5,FALSE)</f>
        <v>#NAME?</v>
      </c>
      <c r="C47" t="e">
        <f ca="1">NF_DIST($A47,$B$3,$E$3,C$5,FALSE)</f>
        <v>#NAME?</v>
      </c>
      <c r="D47" t="e">
        <f ca="1">NF_DIST($A47,$B$3,$E$3,D$5,FALSE)</f>
        <v>#NAME?</v>
      </c>
      <c r="E47" t="e">
        <f ca="1">NF_DIST($A47,$B$3,$E$3,E$5,FALSE)</f>
        <v>#NAME?</v>
      </c>
      <c r="F47" t="e">
        <f ca="1">NF_DIST($A47,$B$3,$E$3,F$5,FALSE)</f>
        <v>#NAME?</v>
      </c>
    </row>
    <row r="48" spans="1:6" x14ac:dyDescent="0.25">
      <c r="A48">
        <f t="shared" si="1"/>
        <v>4.0000000000000018</v>
      </c>
      <c r="B48" t="e">
        <f ca="1">NF_DIST($A48,$B$3,$E$3,B$5,FALSE)</f>
        <v>#NAME?</v>
      </c>
      <c r="C48" t="e">
        <f ca="1">NF_DIST($A48,$B$3,$E$3,C$5,FALSE)</f>
        <v>#NAME?</v>
      </c>
      <c r="D48" t="e">
        <f ca="1">NF_DIST($A48,$B$3,$E$3,D$5,FALSE)</f>
        <v>#NAME?</v>
      </c>
      <c r="E48" t="e">
        <f ca="1">NF_DIST($A48,$B$3,$E$3,E$5,FALSE)</f>
        <v>#NAME?</v>
      </c>
      <c r="F48" t="e">
        <f ca="1">NF_DIST($A48,$B$3,$E$3,F$5,FALSE)</f>
        <v>#NAME?</v>
      </c>
    </row>
    <row r="49" spans="1:6" x14ac:dyDescent="0.25">
      <c r="A49">
        <f t="shared" si="1"/>
        <v>4.1000000000000014</v>
      </c>
      <c r="B49" t="e">
        <f ca="1">NF_DIST($A49,$B$3,$E$3,B$5,FALSE)</f>
        <v>#NAME?</v>
      </c>
      <c r="C49" t="e">
        <f ca="1">NF_DIST($A49,$B$3,$E$3,C$5,FALSE)</f>
        <v>#NAME?</v>
      </c>
      <c r="D49" t="e">
        <f ca="1">NF_DIST($A49,$B$3,$E$3,D$5,FALSE)</f>
        <v>#NAME?</v>
      </c>
      <c r="E49" t="e">
        <f ca="1">NF_DIST($A49,$B$3,$E$3,E$5,FALSE)</f>
        <v>#NAME?</v>
      </c>
      <c r="F49" t="e">
        <f ca="1">NF_DIST($A49,$B$3,$E$3,F$5,FALSE)</f>
        <v>#NAME?</v>
      </c>
    </row>
    <row r="50" spans="1:6" x14ac:dyDescent="0.25">
      <c r="A50">
        <f t="shared" si="1"/>
        <v>4.2000000000000011</v>
      </c>
      <c r="B50" t="e">
        <f ca="1">NF_DIST($A50,$B$3,$E$3,B$5,FALSE)</f>
        <v>#NAME?</v>
      </c>
      <c r="C50" t="e">
        <f ca="1">NF_DIST($A50,$B$3,$E$3,C$5,FALSE)</f>
        <v>#NAME?</v>
      </c>
      <c r="D50" t="e">
        <f ca="1">NF_DIST($A50,$B$3,$E$3,D$5,FALSE)</f>
        <v>#NAME?</v>
      </c>
      <c r="E50" t="e">
        <f ca="1">NF_DIST($A50,$B$3,$E$3,E$5,FALSE)</f>
        <v>#NAME?</v>
      </c>
      <c r="F50" t="e">
        <f ca="1">NF_DIST($A50,$B$3,$E$3,F$5,FALSE)</f>
        <v>#NAME?</v>
      </c>
    </row>
    <row r="51" spans="1:6" x14ac:dyDescent="0.25">
      <c r="A51">
        <f t="shared" si="1"/>
        <v>4.3000000000000007</v>
      </c>
      <c r="B51" t="e">
        <f ca="1">NF_DIST($A51,$B$3,$E$3,B$5,FALSE)</f>
        <v>#NAME?</v>
      </c>
      <c r="C51" t="e">
        <f ca="1">NF_DIST($A51,$B$3,$E$3,C$5,FALSE)</f>
        <v>#NAME?</v>
      </c>
      <c r="D51" t="e">
        <f ca="1">NF_DIST($A51,$B$3,$E$3,D$5,FALSE)</f>
        <v>#NAME?</v>
      </c>
      <c r="E51" t="e">
        <f ca="1">NF_DIST($A51,$B$3,$E$3,E$5,FALSE)</f>
        <v>#NAME?</v>
      </c>
      <c r="F51" t="e">
        <f ca="1">NF_DIST($A51,$B$3,$E$3,F$5,FALSE)</f>
        <v>#NAME?</v>
      </c>
    </row>
    <row r="52" spans="1:6" x14ac:dyDescent="0.25">
      <c r="A52">
        <f t="shared" si="1"/>
        <v>4.4000000000000004</v>
      </c>
      <c r="B52" t="e">
        <f ca="1">NF_DIST($A52,$B$3,$E$3,B$5,FALSE)</f>
        <v>#NAME?</v>
      </c>
      <c r="C52" t="e">
        <f ca="1">NF_DIST($A52,$B$3,$E$3,C$5,FALSE)</f>
        <v>#NAME?</v>
      </c>
      <c r="D52" t="e">
        <f ca="1">NF_DIST($A52,$B$3,$E$3,D$5,FALSE)</f>
        <v>#NAME?</v>
      </c>
      <c r="E52" t="e">
        <f ca="1">NF_DIST($A52,$B$3,$E$3,E$5,FALSE)</f>
        <v>#NAME?</v>
      </c>
      <c r="F52" t="e">
        <f ca="1">NF_DIST($A52,$B$3,$E$3,F$5,FALSE)</f>
        <v>#NAME?</v>
      </c>
    </row>
    <row r="53" spans="1:6" x14ac:dyDescent="0.25">
      <c r="A53">
        <f t="shared" si="1"/>
        <v>4.5</v>
      </c>
      <c r="B53" t="e">
        <f ca="1">NF_DIST($A53,$B$3,$E$3,B$5,FALSE)</f>
        <v>#NAME?</v>
      </c>
      <c r="C53" t="e">
        <f ca="1">NF_DIST($A53,$B$3,$E$3,C$5,FALSE)</f>
        <v>#NAME?</v>
      </c>
      <c r="D53" t="e">
        <f ca="1">NF_DIST($A53,$B$3,$E$3,D$5,FALSE)</f>
        <v>#NAME?</v>
      </c>
      <c r="E53" t="e">
        <f ca="1">NF_DIST($A53,$B$3,$E$3,E$5,FALSE)</f>
        <v>#NAME?</v>
      </c>
      <c r="F53" t="e">
        <f ca="1">NF_DIST($A53,$B$3,$E$3,F$5,FALSE)</f>
        <v>#NAME?</v>
      </c>
    </row>
    <row r="54" spans="1:6" x14ac:dyDescent="0.25">
      <c r="A54">
        <f t="shared" si="1"/>
        <v>4.5999999999999996</v>
      </c>
      <c r="B54" t="e">
        <f ca="1">NF_DIST($A54,$B$3,$E$3,B$5,FALSE)</f>
        <v>#NAME?</v>
      </c>
      <c r="C54" t="e">
        <f ca="1">NF_DIST($A54,$B$3,$E$3,C$5,FALSE)</f>
        <v>#NAME?</v>
      </c>
      <c r="D54" t="e">
        <f ca="1">NF_DIST($A54,$B$3,$E$3,D$5,FALSE)</f>
        <v>#NAME?</v>
      </c>
      <c r="E54" t="e">
        <f ca="1">NF_DIST($A54,$B$3,$E$3,E$5,FALSE)</f>
        <v>#NAME?</v>
      </c>
      <c r="F54" t="e">
        <f ca="1">NF_DIST($A54,$B$3,$E$3,F$5,FALSE)</f>
        <v>#NAME?</v>
      </c>
    </row>
    <row r="55" spans="1:6" x14ac:dyDescent="0.25">
      <c r="A55">
        <f t="shared" si="1"/>
        <v>4.6999999999999993</v>
      </c>
      <c r="B55" t="e">
        <f ca="1">NF_DIST($A55,$B$3,$E$3,B$5,FALSE)</f>
        <v>#NAME?</v>
      </c>
      <c r="C55" t="e">
        <f ca="1">NF_DIST($A55,$B$3,$E$3,C$5,FALSE)</f>
        <v>#NAME?</v>
      </c>
      <c r="D55" t="e">
        <f ca="1">NF_DIST($A55,$B$3,$E$3,D$5,FALSE)</f>
        <v>#NAME?</v>
      </c>
      <c r="E55" t="e">
        <f ca="1">NF_DIST($A55,$B$3,$E$3,E$5,FALSE)</f>
        <v>#NAME?</v>
      </c>
      <c r="F55" t="e">
        <f ca="1">NF_DIST($A55,$B$3,$E$3,F$5,FALSE)</f>
        <v>#NAME?</v>
      </c>
    </row>
    <row r="56" spans="1:6" x14ac:dyDescent="0.25">
      <c r="A56">
        <f t="shared" si="1"/>
        <v>4.7999999999999989</v>
      </c>
      <c r="B56" t="e">
        <f ca="1">NF_DIST($A56,$B$3,$E$3,B$5,FALSE)</f>
        <v>#NAME?</v>
      </c>
      <c r="C56" t="e">
        <f ca="1">NF_DIST($A56,$B$3,$E$3,C$5,FALSE)</f>
        <v>#NAME?</v>
      </c>
      <c r="D56" t="e">
        <f ca="1">NF_DIST($A56,$B$3,$E$3,D$5,FALSE)</f>
        <v>#NAME?</v>
      </c>
      <c r="E56" t="e">
        <f ca="1">NF_DIST($A56,$B$3,$E$3,E$5,FALSE)</f>
        <v>#NAME?</v>
      </c>
      <c r="F56" t="e">
        <f ca="1">NF_DIST($A56,$B$3,$E$3,F$5,FALSE)</f>
        <v>#NAME?</v>
      </c>
    </row>
    <row r="57" spans="1:6" x14ac:dyDescent="0.25">
      <c r="A57">
        <f t="shared" si="1"/>
        <v>4.8999999999999986</v>
      </c>
      <c r="B57" t="e">
        <f ca="1">NF_DIST($A57,$B$3,$E$3,B$5,FALSE)</f>
        <v>#NAME?</v>
      </c>
      <c r="C57" t="e">
        <f ca="1">NF_DIST($A57,$B$3,$E$3,C$5,FALSE)</f>
        <v>#NAME?</v>
      </c>
      <c r="D57" t="e">
        <f ca="1">NF_DIST($A57,$B$3,$E$3,D$5,FALSE)</f>
        <v>#NAME?</v>
      </c>
      <c r="E57" t="e">
        <f ca="1">NF_DIST($A57,$B$3,$E$3,E$5,FALSE)</f>
        <v>#NAME?</v>
      </c>
      <c r="F57" t="e">
        <f ca="1">NF_DIST($A57,$B$3,$E$3,F$5,FALSE)</f>
        <v>#NAME?</v>
      </c>
    </row>
    <row r="58" spans="1:6" x14ac:dyDescent="0.25">
      <c r="A58">
        <f t="shared" si="1"/>
        <v>4.9999999999999982</v>
      </c>
      <c r="B58" t="e">
        <f ca="1">NF_DIST($A58,$B$3,$E$3,B$5,FALSE)</f>
        <v>#NAME?</v>
      </c>
      <c r="C58" t="e">
        <f ca="1">NF_DIST($A58,$B$3,$E$3,C$5,FALSE)</f>
        <v>#NAME?</v>
      </c>
      <c r="D58" t="e">
        <f ca="1">NF_DIST($A58,$B$3,$E$3,D$5,FALSE)</f>
        <v>#NAME?</v>
      </c>
      <c r="E58" t="e">
        <f ca="1">NF_DIST($A58,$B$3,$E$3,E$5,FALSE)</f>
        <v>#NAME?</v>
      </c>
      <c r="F58" t="e">
        <f ca="1">NF_DIST($A58,$B$3,$E$3,F$5,FALSE)</f>
        <v>#NAME?</v>
      </c>
    </row>
    <row r="59" spans="1:6" x14ac:dyDescent="0.25">
      <c r="A59">
        <f t="shared" si="1"/>
        <v>5.0999999999999979</v>
      </c>
      <c r="B59" t="e">
        <f ca="1">NF_DIST($A59,$B$3,$E$3,B$5,FALSE)</f>
        <v>#NAME?</v>
      </c>
      <c r="C59" t="e">
        <f ca="1">NF_DIST($A59,$B$3,$E$3,C$5,FALSE)</f>
        <v>#NAME?</v>
      </c>
      <c r="D59" t="e">
        <f ca="1">NF_DIST($A59,$B$3,$E$3,D$5,FALSE)</f>
        <v>#NAME?</v>
      </c>
      <c r="E59" t="e">
        <f ca="1">NF_DIST($A59,$B$3,$E$3,E$5,FALSE)</f>
        <v>#NAME?</v>
      </c>
      <c r="F59" t="e">
        <f ca="1">NF_DIST($A59,$B$3,$E$3,F$5,FALSE)</f>
        <v>#NAME?</v>
      </c>
    </row>
    <row r="60" spans="1:6" x14ac:dyDescent="0.25">
      <c r="A60">
        <f t="shared" si="1"/>
        <v>5.1999999999999975</v>
      </c>
      <c r="B60" t="e">
        <f ca="1">NF_DIST($A60,$B$3,$E$3,B$5,FALSE)</f>
        <v>#NAME?</v>
      </c>
      <c r="C60" t="e">
        <f ca="1">NF_DIST($A60,$B$3,$E$3,C$5,FALSE)</f>
        <v>#NAME?</v>
      </c>
      <c r="D60" t="e">
        <f ca="1">NF_DIST($A60,$B$3,$E$3,D$5,FALSE)</f>
        <v>#NAME?</v>
      </c>
      <c r="E60" t="e">
        <f ca="1">NF_DIST($A60,$B$3,$E$3,E$5,FALSE)</f>
        <v>#NAME?</v>
      </c>
      <c r="F60" t="e">
        <f ca="1">NF_DIST($A60,$B$3,$E$3,F$5,FALSE)</f>
        <v>#NAME?</v>
      </c>
    </row>
    <row r="61" spans="1:6" x14ac:dyDescent="0.25">
      <c r="A61">
        <f t="shared" si="1"/>
        <v>5.2999999999999972</v>
      </c>
      <c r="B61" t="e">
        <f ca="1">NF_DIST($A61,$B$3,$E$3,B$5,FALSE)</f>
        <v>#NAME?</v>
      </c>
      <c r="C61" t="e">
        <f ca="1">NF_DIST($A61,$B$3,$E$3,C$5,FALSE)</f>
        <v>#NAME?</v>
      </c>
      <c r="D61" t="e">
        <f ca="1">NF_DIST($A61,$B$3,$E$3,D$5,FALSE)</f>
        <v>#NAME?</v>
      </c>
      <c r="E61" t="e">
        <f ca="1">NF_DIST($A61,$B$3,$E$3,E$5,FALSE)</f>
        <v>#NAME?</v>
      </c>
      <c r="F61" t="e">
        <f ca="1">NF_DIST($A61,$B$3,$E$3,F$5,FALSE)</f>
        <v>#NAME?</v>
      </c>
    </row>
    <row r="62" spans="1:6" x14ac:dyDescent="0.25">
      <c r="A62">
        <f t="shared" si="1"/>
        <v>5.3999999999999968</v>
      </c>
      <c r="B62" t="e">
        <f ca="1">NF_DIST($A62,$B$3,$E$3,B$5,FALSE)</f>
        <v>#NAME?</v>
      </c>
      <c r="C62" t="e">
        <f ca="1">NF_DIST($A62,$B$3,$E$3,C$5,FALSE)</f>
        <v>#NAME?</v>
      </c>
      <c r="D62" t="e">
        <f ca="1">NF_DIST($A62,$B$3,$E$3,D$5,FALSE)</f>
        <v>#NAME?</v>
      </c>
      <c r="E62" t="e">
        <f ca="1">NF_DIST($A62,$B$3,$E$3,E$5,FALSE)</f>
        <v>#NAME?</v>
      </c>
      <c r="F62" t="e">
        <f ca="1">NF_DIST($A62,$B$3,$E$3,F$5,FALSE)</f>
        <v>#NAME?</v>
      </c>
    </row>
    <row r="63" spans="1:6" x14ac:dyDescent="0.25">
      <c r="A63">
        <f t="shared" si="1"/>
        <v>5.4999999999999964</v>
      </c>
      <c r="B63" t="e">
        <f ca="1">NF_DIST($A63,$B$3,$E$3,B$5,FALSE)</f>
        <v>#NAME?</v>
      </c>
      <c r="C63" t="e">
        <f ca="1">NF_DIST($A63,$B$3,$E$3,C$5,FALSE)</f>
        <v>#NAME?</v>
      </c>
      <c r="D63" t="e">
        <f ca="1">NF_DIST($A63,$B$3,$E$3,D$5,FALSE)</f>
        <v>#NAME?</v>
      </c>
      <c r="E63" t="e">
        <f ca="1">NF_DIST($A63,$B$3,$E$3,E$5,FALSE)</f>
        <v>#NAME?</v>
      </c>
      <c r="F63" t="e">
        <f ca="1">NF_DIST($A63,$B$3,$E$3,F$5,FALSE)</f>
        <v>#NAME?</v>
      </c>
    </row>
    <row r="64" spans="1:6" x14ac:dyDescent="0.25">
      <c r="A64">
        <f t="shared" si="1"/>
        <v>5.5999999999999961</v>
      </c>
      <c r="B64" t="e">
        <f ca="1">NF_DIST($A64,$B$3,$E$3,B$5,FALSE)</f>
        <v>#NAME?</v>
      </c>
      <c r="C64" t="e">
        <f ca="1">NF_DIST($A64,$B$3,$E$3,C$5,FALSE)</f>
        <v>#NAME?</v>
      </c>
      <c r="D64" t="e">
        <f ca="1">NF_DIST($A64,$B$3,$E$3,D$5,FALSE)</f>
        <v>#NAME?</v>
      </c>
      <c r="E64" t="e">
        <f ca="1">NF_DIST($A64,$B$3,$E$3,E$5,FALSE)</f>
        <v>#NAME?</v>
      </c>
      <c r="F64" t="e">
        <f ca="1">NF_DIST($A64,$B$3,$E$3,F$5,FALSE)</f>
        <v>#NAME?</v>
      </c>
    </row>
    <row r="65" spans="1:6" x14ac:dyDescent="0.25">
      <c r="A65">
        <f t="shared" si="1"/>
        <v>5.6999999999999957</v>
      </c>
      <c r="B65" t="e">
        <f ca="1">NF_DIST($A65,$B$3,$E$3,B$5,FALSE)</f>
        <v>#NAME?</v>
      </c>
      <c r="C65" t="e">
        <f ca="1">NF_DIST($A65,$B$3,$E$3,C$5,FALSE)</f>
        <v>#NAME?</v>
      </c>
      <c r="D65" t="e">
        <f ca="1">NF_DIST($A65,$B$3,$E$3,D$5,FALSE)</f>
        <v>#NAME?</v>
      </c>
      <c r="E65" t="e">
        <f ca="1">NF_DIST($A65,$B$3,$E$3,E$5,FALSE)</f>
        <v>#NAME?</v>
      </c>
      <c r="F65" t="e">
        <f ca="1">NF_DIST($A65,$B$3,$E$3,F$5,FALSE)</f>
        <v>#NAME?</v>
      </c>
    </row>
    <row r="66" spans="1:6" x14ac:dyDescent="0.25">
      <c r="A66">
        <f t="shared" si="1"/>
        <v>5.7999999999999954</v>
      </c>
      <c r="B66" t="e">
        <f ca="1">NF_DIST($A66,$B$3,$E$3,B$5,FALSE)</f>
        <v>#NAME?</v>
      </c>
      <c r="C66" t="e">
        <f ca="1">NF_DIST($A66,$B$3,$E$3,C$5,FALSE)</f>
        <v>#NAME?</v>
      </c>
      <c r="D66" t="e">
        <f ca="1">NF_DIST($A66,$B$3,$E$3,D$5,FALSE)</f>
        <v>#NAME?</v>
      </c>
      <c r="E66" t="e">
        <f ca="1">NF_DIST($A66,$B$3,$E$3,E$5,FALSE)</f>
        <v>#NAME?</v>
      </c>
      <c r="F66" t="e">
        <f ca="1">NF_DIST($A66,$B$3,$E$3,F$5,FALSE)</f>
        <v>#NAME?</v>
      </c>
    </row>
    <row r="67" spans="1:6" x14ac:dyDescent="0.25">
      <c r="A67">
        <f t="shared" si="1"/>
        <v>5.899999999999995</v>
      </c>
      <c r="B67" t="e">
        <f ca="1">NF_DIST($A67,$B$3,$E$3,B$5,FALSE)</f>
        <v>#NAME?</v>
      </c>
      <c r="C67" t="e">
        <f ca="1">NF_DIST($A67,$B$3,$E$3,C$5,FALSE)</f>
        <v>#NAME?</v>
      </c>
      <c r="D67" t="e">
        <f ca="1">NF_DIST($A67,$B$3,$E$3,D$5,FALSE)</f>
        <v>#NAME?</v>
      </c>
      <c r="E67" t="e">
        <f ca="1">NF_DIST($A67,$B$3,$E$3,E$5,FALSE)</f>
        <v>#NAME?</v>
      </c>
      <c r="F67" t="e">
        <f ca="1">NF_DIST($A67,$B$3,$E$3,F$5,FALSE)</f>
        <v>#NAME?</v>
      </c>
    </row>
    <row r="68" spans="1:6" x14ac:dyDescent="0.25">
      <c r="A68">
        <f t="shared" si="1"/>
        <v>5.9999999999999947</v>
      </c>
      <c r="B68" t="e">
        <f ca="1">NF_DIST($A68,$B$3,$E$3,B$5,FALSE)</f>
        <v>#NAME?</v>
      </c>
      <c r="C68" t="e">
        <f ca="1">NF_DIST($A68,$B$3,$E$3,C$5,FALSE)</f>
        <v>#NAME?</v>
      </c>
      <c r="D68" t="e">
        <f ca="1">NF_DIST($A68,$B$3,$E$3,D$5,FALSE)</f>
        <v>#NAME?</v>
      </c>
      <c r="E68" t="e">
        <f ca="1">NF_DIST($A68,$B$3,$E$3,E$5,FALSE)</f>
        <v>#NAME?</v>
      </c>
      <c r="F68" t="e">
        <f ca="1">NF_DIST($A68,$B$3,$E$3,F$5,FALSE)</f>
        <v>#NAME?</v>
      </c>
    </row>
    <row r="69" spans="1:6" x14ac:dyDescent="0.25">
      <c r="A69">
        <f t="shared" si="1"/>
        <v>6.0999999999999943</v>
      </c>
      <c r="B69" t="e">
        <f ca="1">NF_DIST($A69,$B$3,$E$3,B$5,FALSE)</f>
        <v>#NAME?</v>
      </c>
      <c r="C69" t="e">
        <f ca="1">NF_DIST($A69,$B$3,$E$3,C$5,FALSE)</f>
        <v>#NAME?</v>
      </c>
      <c r="D69" t="e">
        <f ca="1">NF_DIST($A69,$B$3,$E$3,D$5,FALSE)</f>
        <v>#NAME?</v>
      </c>
      <c r="E69" t="e">
        <f ca="1">NF_DIST($A69,$B$3,$E$3,E$5,FALSE)</f>
        <v>#NAME?</v>
      </c>
      <c r="F69" t="e">
        <f ca="1">NF_DIST($A69,$B$3,$E$3,F$5,FALSE)</f>
        <v>#NAME?</v>
      </c>
    </row>
    <row r="70" spans="1:6" x14ac:dyDescent="0.25">
      <c r="A70">
        <f t="shared" si="1"/>
        <v>6.199999999999994</v>
      </c>
      <c r="B70" t="e">
        <f ca="1">NF_DIST($A70,$B$3,$E$3,B$5,FALSE)</f>
        <v>#NAME?</v>
      </c>
      <c r="C70" t="e">
        <f ca="1">NF_DIST($A70,$B$3,$E$3,C$5,FALSE)</f>
        <v>#NAME?</v>
      </c>
      <c r="D70" t="e">
        <f ca="1">NF_DIST($A70,$B$3,$E$3,D$5,FALSE)</f>
        <v>#NAME?</v>
      </c>
      <c r="E70" t="e">
        <f ca="1">NF_DIST($A70,$B$3,$E$3,E$5,FALSE)</f>
        <v>#NAME?</v>
      </c>
      <c r="F70" t="e">
        <f ca="1">NF_DIST($A70,$B$3,$E$3,F$5,FALSE)</f>
        <v>#NAME?</v>
      </c>
    </row>
    <row r="71" spans="1:6" x14ac:dyDescent="0.25">
      <c r="A71">
        <f t="shared" si="1"/>
        <v>6.2999999999999936</v>
      </c>
      <c r="B71" t="e">
        <f ca="1">NF_DIST($A71,$B$3,$E$3,B$5,FALSE)</f>
        <v>#NAME?</v>
      </c>
      <c r="C71" t="e">
        <f ca="1">NF_DIST($A71,$B$3,$E$3,C$5,FALSE)</f>
        <v>#NAME?</v>
      </c>
      <c r="D71" t="e">
        <f ca="1">NF_DIST($A71,$B$3,$E$3,D$5,FALSE)</f>
        <v>#NAME?</v>
      </c>
      <c r="E71" t="e">
        <f ca="1">NF_DIST($A71,$B$3,$E$3,E$5,FALSE)</f>
        <v>#NAME?</v>
      </c>
      <c r="F71" t="e">
        <f ca="1">NF_DIST($A71,$B$3,$E$3,F$5,FALSE)</f>
        <v>#NAME?</v>
      </c>
    </row>
    <row r="72" spans="1:6" x14ac:dyDescent="0.25">
      <c r="A72">
        <f t="shared" si="1"/>
        <v>6.3999999999999932</v>
      </c>
      <c r="B72" t="e">
        <f ca="1">NF_DIST($A72,$B$3,$E$3,B$5,FALSE)</f>
        <v>#NAME?</v>
      </c>
      <c r="C72" t="e">
        <f ca="1">NF_DIST($A72,$B$3,$E$3,C$5,FALSE)</f>
        <v>#NAME?</v>
      </c>
      <c r="D72" t="e">
        <f ca="1">NF_DIST($A72,$B$3,$E$3,D$5,FALSE)</f>
        <v>#NAME?</v>
      </c>
      <c r="E72" t="e">
        <f ca="1">NF_DIST($A72,$B$3,$E$3,E$5,FALSE)</f>
        <v>#NAME?</v>
      </c>
      <c r="F72" t="e">
        <f ca="1">NF_DIST($A72,$B$3,$E$3,F$5,FALSE)</f>
        <v>#NAME?</v>
      </c>
    </row>
    <row r="73" spans="1:6" x14ac:dyDescent="0.25">
      <c r="A73">
        <f t="shared" si="1"/>
        <v>6.4999999999999929</v>
      </c>
      <c r="B73" t="e">
        <f ca="1">NF_DIST($A73,$B$3,$E$3,B$5,FALSE)</f>
        <v>#NAME?</v>
      </c>
      <c r="C73" t="e">
        <f ca="1">NF_DIST($A73,$B$3,$E$3,C$5,FALSE)</f>
        <v>#NAME?</v>
      </c>
      <c r="D73" t="e">
        <f ca="1">NF_DIST($A73,$B$3,$E$3,D$5,FALSE)</f>
        <v>#NAME?</v>
      </c>
      <c r="E73" t="e">
        <f ca="1">NF_DIST($A73,$B$3,$E$3,E$5,FALSE)</f>
        <v>#NAME?</v>
      </c>
      <c r="F73" t="e">
        <f ca="1">NF_DIST($A73,$B$3,$E$3,F$5,FALSE)</f>
        <v>#NAME?</v>
      </c>
    </row>
    <row r="74" spans="1:6" x14ac:dyDescent="0.25">
      <c r="A74">
        <f t="shared" si="1"/>
        <v>6.5999999999999925</v>
      </c>
      <c r="B74" t="e">
        <f ca="1">NF_DIST($A74,$B$3,$E$3,B$5,FALSE)</f>
        <v>#NAME?</v>
      </c>
      <c r="C74" t="e">
        <f ca="1">NF_DIST($A74,$B$3,$E$3,C$5,FALSE)</f>
        <v>#NAME?</v>
      </c>
      <c r="D74" t="e">
        <f ca="1">NF_DIST($A74,$B$3,$E$3,D$5,FALSE)</f>
        <v>#NAME?</v>
      </c>
      <c r="E74" t="e">
        <f ca="1">NF_DIST($A74,$B$3,$E$3,E$5,FALSE)</f>
        <v>#NAME?</v>
      </c>
      <c r="F74" t="e">
        <f ca="1">NF_DIST($A74,$B$3,$E$3,F$5,FALSE)</f>
        <v>#NAME?</v>
      </c>
    </row>
    <row r="75" spans="1:6" x14ac:dyDescent="0.25">
      <c r="A75">
        <f t="shared" si="1"/>
        <v>6.6999999999999922</v>
      </c>
      <c r="B75" t="e">
        <f ca="1">NF_DIST($A75,$B$3,$E$3,B$5,FALSE)</f>
        <v>#NAME?</v>
      </c>
      <c r="C75" t="e">
        <f ca="1">NF_DIST($A75,$B$3,$E$3,C$5,FALSE)</f>
        <v>#NAME?</v>
      </c>
      <c r="D75" t="e">
        <f ca="1">NF_DIST($A75,$B$3,$E$3,D$5,FALSE)</f>
        <v>#NAME?</v>
      </c>
      <c r="E75" t="e">
        <f ca="1">NF_DIST($A75,$B$3,$E$3,E$5,FALSE)</f>
        <v>#NAME?</v>
      </c>
      <c r="F75" t="e">
        <f ca="1">NF_DIST($A75,$B$3,$E$3,F$5,FALSE)</f>
        <v>#NAME?</v>
      </c>
    </row>
    <row r="76" spans="1:6" x14ac:dyDescent="0.25">
      <c r="A76">
        <f t="shared" si="1"/>
        <v>6.7999999999999918</v>
      </c>
      <c r="B76" t="e">
        <f ca="1">NF_DIST($A76,$B$3,$E$3,B$5,FALSE)</f>
        <v>#NAME?</v>
      </c>
      <c r="C76" t="e">
        <f ca="1">NF_DIST($A76,$B$3,$E$3,C$5,FALSE)</f>
        <v>#NAME?</v>
      </c>
      <c r="D76" t="e">
        <f ca="1">NF_DIST($A76,$B$3,$E$3,D$5,FALSE)</f>
        <v>#NAME?</v>
      </c>
      <c r="E76" t="e">
        <f ca="1">NF_DIST($A76,$B$3,$E$3,E$5,FALSE)</f>
        <v>#NAME?</v>
      </c>
      <c r="F76" t="e">
        <f ca="1">NF_DIST($A76,$B$3,$E$3,F$5,FALSE)</f>
        <v>#NAME?</v>
      </c>
    </row>
    <row r="77" spans="1:6" x14ac:dyDescent="0.25">
      <c r="A77">
        <f t="shared" si="1"/>
        <v>6.8999999999999915</v>
      </c>
      <c r="B77" t="e">
        <f ca="1">NF_DIST($A77,$B$3,$E$3,B$5,FALSE)</f>
        <v>#NAME?</v>
      </c>
      <c r="C77" t="e">
        <f ca="1">NF_DIST($A77,$B$3,$E$3,C$5,FALSE)</f>
        <v>#NAME?</v>
      </c>
      <c r="D77" t="e">
        <f ca="1">NF_DIST($A77,$B$3,$E$3,D$5,FALSE)</f>
        <v>#NAME?</v>
      </c>
      <c r="E77" t="e">
        <f ca="1">NF_DIST($A77,$B$3,$E$3,E$5,FALSE)</f>
        <v>#NAME?</v>
      </c>
      <c r="F77" t="e">
        <f ca="1">NF_DIST($A77,$B$3,$E$3,F$5,FALSE)</f>
        <v>#NAME?</v>
      </c>
    </row>
    <row r="78" spans="1:6" x14ac:dyDescent="0.25">
      <c r="A78">
        <f t="shared" si="1"/>
        <v>6.9999999999999911</v>
      </c>
      <c r="B78" t="e">
        <f ca="1">NF_DIST($A78,$B$3,$E$3,B$5,FALSE)</f>
        <v>#NAME?</v>
      </c>
      <c r="C78" t="e">
        <f ca="1">NF_DIST($A78,$B$3,$E$3,C$5,FALSE)</f>
        <v>#NAME?</v>
      </c>
      <c r="D78" t="e">
        <f ca="1">NF_DIST($A78,$B$3,$E$3,D$5,FALSE)</f>
        <v>#NAME?</v>
      </c>
      <c r="E78" t="e">
        <f ca="1">NF_DIST($A78,$B$3,$E$3,E$5,FALSE)</f>
        <v>#NAME?</v>
      </c>
      <c r="F78" t="e">
        <f ca="1">NF_DIST($A78,$B$3,$E$3,F$5,FALSE)</f>
        <v>#NAME?</v>
      </c>
    </row>
    <row r="79" spans="1:6" x14ac:dyDescent="0.25">
      <c r="A79">
        <f t="shared" si="1"/>
        <v>7.0999999999999908</v>
      </c>
      <c r="B79" t="e">
        <f ca="1">NF_DIST($A79,$B$3,$E$3,B$5,FALSE)</f>
        <v>#NAME?</v>
      </c>
      <c r="C79" t="e">
        <f ca="1">NF_DIST($A79,$B$3,$E$3,C$5,FALSE)</f>
        <v>#NAME?</v>
      </c>
      <c r="D79" t="e">
        <f ca="1">NF_DIST($A79,$B$3,$E$3,D$5,FALSE)</f>
        <v>#NAME?</v>
      </c>
      <c r="E79" t="e">
        <f ca="1">NF_DIST($A79,$B$3,$E$3,E$5,FALSE)</f>
        <v>#NAME?</v>
      </c>
      <c r="F79" t="e">
        <f ca="1">NF_DIST($A79,$B$3,$E$3,F$5,FALSE)</f>
        <v>#NAME?</v>
      </c>
    </row>
    <row r="80" spans="1:6" x14ac:dyDescent="0.25">
      <c r="A80">
        <f t="shared" si="1"/>
        <v>7.1999999999999904</v>
      </c>
      <c r="B80" t="e">
        <f ca="1">NF_DIST($A80,$B$3,$E$3,B$5,FALSE)</f>
        <v>#NAME?</v>
      </c>
      <c r="C80" t="e">
        <f ca="1">NF_DIST($A80,$B$3,$E$3,C$5,FALSE)</f>
        <v>#NAME?</v>
      </c>
      <c r="D80" t="e">
        <f ca="1">NF_DIST($A80,$B$3,$E$3,D$5,FALSE)</f>
        <v>#NAME?</v>
      </c>
      <c r="E80" t="e">
        <f ca="1">NF_DIST($A80,$B$3,$E$3,E$5,FALSE)</f>
        <v>#NAME?</v>
      </c>
      <c r="F80" t="e">
        <f ca="1">NF_DIST($A80,$B$3,$E$3,F$5,FALSE)</f>
        <v>#NAME?</v>
      </c>
    </row>
    <row r="81" spans="1:6" x14ac:dyDescent="0.25">
      <c r="A81">
        <f t="shared" si="1"/>
        <v>7.2999999999999901</v>
      </c>
      <c r="B81" t="e">
        <f ca="1">NF_DIST($A81,$B$3,$E$3,B$5,FALSE)</f>
        <v>#NAME?</v>
      </c>
      <c r="C81" t="e">
        <f ca="1">NF_DIST($A81,$B$3,$E$3,C$5,FALSE)</f>
        <v>#NAME?</v>
      </c>
      <c r="D81" t="e">
        <f ca="1">NF_DIST($A81,$B$3,$E$3,D$5,FALSE)</f>
        <v>#NAME?</v>
      </c>
      <c r="E81" t="e">
        <f ca="1">NF_DIST($A81,$B$3,$E$3,E$5,FALSE)</f>
        <v>#NAME?</v>
      </c>
      <c r="F81" t="e">
        <f ca="1">NF_DIST($A81,$B$3,$E$3,F$5,FALSE)</f>
        <v>#NAME?</v>
      </c>
    </row>
    <row r="82" spans="1:6" x14ac:dyDescent="0.25">
      <c r="A82">
        <f t="shared" si="1"/>
        <v>7.3999999999999897</v>
      </c>
      <c r="B82" t="e">
        <f ca="1">NF_DIST($A82,$B$3,$E$3,B$5,FALSE)</f>
        <v>#NAME?</v>
      </c>
      <c r="C82" t="e">
        <f ca="1">NF_DIST($A82,$B$3,$E$3,C$5,FALSE)</f>
        <v>#NAME?</v>
      </c>
      <c r="D82" t="e">
        <f ca="1">NF_DIST($A82,$B$3,$E$3,D$5,FALSE)</f>
        <v>#NAME?</v>
      </c>
      <c r="E82" t="e">
        <f ca="1">NF_DIST($A82,$B$3,$E$3,E$5,FALSE)</f>
        <v>#NAME?</v>
      </c>
      <c r="F82" t="e">
        <f ca="1">NF_DIST($A82,$B$3,$E$3,F$5,FALSE)</f>
        <v>#NAME?</v>
      </c>
    </row>
    <row r="83" spans="1:6" x14ac:dyDescent="0.25">
      <c r="A83">
        <f t="shared" si="1"/>
        <v>7.4999999999999893</v>
      </c>
      <c r="B83" t="e">
        <f ca="1">NF_DIST($A83,$B$3,$E$3,B$5,FALSE)</f>
        <v>#NAME?</v>
      </c>
      <c r="C83" t="e">
        <f ca="1">NF_DIST($A83,$B$3,$E$3,C$5,FALSE)</f>
        <v>#NAME?</v>
      </c>
      <c r="D83" t="e">
        <f ca="1">NF_DIST($A83,$B$3,$E$3,D$5,FALSE)</f>
        <v>#NAME?</v>
      </c>
      <c r="E83" t="e">
        <f ca="1">NF_DIST($A83,$B$3,$E$3,E$5,FALSE)</f>
        <v>#NAME?</v>
      </c>
      <c r="F83" t="e">
        <f ca="1">NF_DIST($A83,$B$3,$E$3,F$5,FALSE)</f>
        <v>#NAME?</v>
      </c>
    </row>
    <row r="84" spans="1:6" x14ac:dyDescent="0.25">
      <c r="A84">
        <f t="shared" si="1"/>
        <v>7.599999999999989</v>
      </c>
      <c r="B84" t="e">
        <f ca="1">NF_DIST($A84,$B$3,$E$3,B$5,FALSE)</f>
        <v>#NAME?</v>
      </c>
      <c r="C84" t="e">
        <f ca="1">NF_DIST($A84,$B$3,$E$3,C$5,FALSE)</f>
        <v>#NAME?</v>
      </c>
      <c r="D84" t="e">
        <f ca="1">NF_DIST($A84,$B$3,$E$3,D$5,FALSE)</f>
        <v>#NAME?</v>
      </c>
      <c r="E84" t="e">
        <f ca="1">NF_DIST($A84,$B$3,$E$3,E$5,FALSE)</f>
        <v>#NAME?</v>
      </c>
      <c r="F84" t="e">
        <f ca="1">NF_DIST($A84,$B$3,$E$3,F$5,FALSE)</f>
        <v>#NAME?</v>
      </c>
    </row>
    <row r="85" spans="1:6" x14ac:dyDescent="0.25">
      <c r="A85">
        <f t="shared" si="1"/>
        <v>7.6999999999999886</v>
      </c>
      <c r="B85" t="e">
        <f ca="1">NF_DIST($A85,$B$3,$E$3,B$5,FALSE)</f>
        <v>#NAME?</v>
      </c>
      <c r="C85" t="e">
        <f ca="1">NF_DIST($A85,$B$3,$E$3,C$5,FALSE)</f>
        <v>#NAME?</v>
      </c>
      <c r="D85" t="e">
        <f ca="1">NF_DIST($A85,$B$3,$E$3,D$5,FALSE)</f>
        <v>#NAME?</v>
      </c>
      <c r="E85" t="e">
        <f ca="1">NF_DIST($A85,$B$3,$E$3,E$5,FALSE)</f>
        <v>#NAME?</v>
      </c>
      <c r="F85" t="e">
        <f ca="1">NF_DIST($A85,$B$3,$E$3,F$5,FALSE)</f>
        <v>#NAME?</v>
      </c>
    </row>
    <row r="86" spans="1:6" x14ac:dyDescent="0.25">
      <c r="A86">
        <f t="shared" si="1"/>
        <v>7.7999999999999883</v>
      </c>
      <c r="B86" t="e">
        <f ca="1">NF_DIST($A86,$B$3,$E$3,B$5,FALSE)</f>
        <v>#NAME?</v>
      </c>
      <c r="C86" t="e">
        <f ca="1">NF_DIST($A86,$B$3,$E$3,C$5,FALSE)</f>
        <v>#NAME?</v>
      </c>
      <c r="D86" t="e">
        <f ca="1">NF_DIST($A86,$B$3,$E$3,D$5,FALSE)</f>
        <v>#NAME?</v>
      </c>
      <c r="E86" t="e">
        <f ca="1">NF_DIST($A86,$B$3,$E$3,E$5,FALSE)</f>
        <v>#NAME?</v>
      </c>
      <c r="F86" t="e">
        <f ca="1">NF_DIST($A86,$B$3,$E$3,F$5,FALSE)</f>
        <v>#NAME?</v>
      </c>
    </row>
    <row r="87" spans="1:6" x14ac:dyDescent="0.25">
      <c r="A87">
        <f t="shared" si="1"/>
        <v>7.8999999999999879</v>
      </c>
      <c r="B87" t="e">
        <f ca="1">NF_DIST($A87,$B$3,$E$3,B$5,FALSE)</f>
        <v>#NAME?</v>
      </c>
      <c r="C87" t="e">
        <f ca="1">NF_DIST($A87,$B$3,$E$3,C$5,FALSE)</f>
        <v>#NAME?</v>
      </c>
      <c r="D87" t="e">
        <f ca="1">NF_DIST($A87,$B$3,$E$3,D$5,FALSE)</f>
        <v>#NAME?</v>
      </c>
      <c r="E87" t="e">
        <f ca="1">NF_DIST($A87,$B$3,$E$3,E$5,FALSE)</f>
        <v>#NAME?</v>
      </c>
      <c r="F87" t="e">
        <f ca="1">NF_DIST($A87,$B$3,$E$3,F$5,FALSE)</f>
        <v>#NAME?</v>
      </c>
    </row>
    <row r="88" spans="1:6" x14ac:dyDescent="0.25">
      <c r="A88">
        <f t="shared" si="1"/>
        <v>7.9999999999999876</v>
      </c>
      <c r="B88" t="e">
        <f ca="1">NF_DIST($A88,$B$3,$E$3,B$5,FALSE)</f>
        <v>#NAME?</v>
      </c>
      <c r="C88" t="e">
        <f ca="1">NF_DIST($A88,$B$3,$E$3,C$5,FALSE)</f>
        <v>#NAME?</v>
      </c>
      <c r="D88" t="e">
        <f ca="1">NF_DIST($A88,$B$3,$E$3,D$5,FALSE)</f>
        <v>#NAME?</v>
      </c>
      <c r="E88" t="e">
        <f ca="1">NF_DIST($A88,$B$3,$E$3,E$5,FALSE)</f>
        <v>#NAME?</v>
      </c>
      <c r="F88" t="e">
        <f ca="1">NF_DIST($A88,$B$3,$E$3,F$5,FALSE)</f>
        <v>#NAME?</v>
      </c>
    </row>
    <row r="89" spans="1:6" x14ac:dyDescent="0.25">
      <c r="A89">
        <f t="shared" si="1"/>
        <v>8.0999999999999872</v>
      </c>
      <c r="B89" t="e">
        <f ca="1">NF_DIST($A89,$B$3,$E$3,B$5,FALSE)</f>
        <v>#NAME?</v>
      </c>
      <c r="C89" t="e">
        <f ca="1">NF_DIST($A89,$B$3,$E$3,C$5,FALSE)</f>
        <v>#NAME?</v>
      </c>
      <c r="D89" t="e">
        <f ca="1">NF_DIST($A89,$B$3,$E$3,D$5,FALSE)</f>
        <v>#NAME?</v>
      </c>
      <c r="E89" t="e">
        <f ca="1">NF_DIST($A89,$B$3,$E$3,E$5,FALSE)</f>
        <v>#NAME?</v>
      </c>
      <c r="F89" t="e">
        <f ca="1">NF_DIST($A89,$B$3,$E$3,F$5,FALSE)</f>
        <v>#NAME?</v>
      </c>
    </row>
    <row r="90" spans="1:6" x14ac:dyDescent="0.25">
      <c r="A90">
        <f t="shared" si="1"/>
        <v>8.1999999999999869</v>
      </c>
      <c r="B90" t="e">
        <f ca="1">NF_DIST($A90,$B$3,$E$3,B$5,FALSE)</f>
        <v>#NAME?</v>
      </c>
      <c r="C90" t="e">
        <f ca="1">NF_DIST($A90,$B$3,$E$3,C$5,FALSE)</f>
        <v>#NAME?</v>
      </c>
      <c r="D90" t="e">
        <f ca="1">NF_DIST($A90,$B$3,$E$3,D$5,FALSE)</f>
        <v>#NAME?</v>
      </c>
      <c r="E90" t="e">
        <f ca="1">NF_DIST($A90,$B$3,$E$3,E$5,FALSE)</f>
        <v>#NAME?</v>
      </c>
      <c r="F90" t="e">
        <f ca="1">NF_DIST($A90,$B$3,$E$3,F$5,FALSE)</f>
        <v>#NAME?</v>
      </c>
    </row>
    <row r="91" spans="1:6" x14ac:dyDescent="0.25">
      <c r="A91">
        <f t="shared" si="1"/>
        <v>8.2999999999999865</v>
      </c>
      <c r="B91" t="e">
        <f ca="1">NF_DIST($A91,$B$3,$E$3,B$5,FALSE)</f>
        <v>#NAME?</v>
      </c>
      <c r="C91" t="e">
        <f ca="1">NF_DIST($A91,$B$3,$E$3,C$5,FALSE)</f>
        <v>#NAME?</v>
      </c>
      <c r="D91" t="e">
        <f ca="1">NF_DIST($A91,$B$3,$E$3,D$5,FALSE)</f>
        <v>#NAME?</v>
      </c>
      <c r="E91" t="e">
        <f ca="1">NF_DIST($A91,$B$3,$E$3,E$5,FALSE)</f>
        <v>#NAME?</v>
      </c>
      <c r="F91" t="e">
        <f ca="1">NF_DIST($A91,$B$3,$E$3,F$5,FALSE)</f>
        <v>#NAME?</v>
      </c>
    </row>
    <row r="92" spans="1:6" x14ac:dyDescent="0.25">
      <c r="A92">
        <f t="shared" si="1"/>
        <v>8.3999999999999861</v>
      </c>
      <c r="B92" t="e">
        <f ca="1">NF_DIST($A92,$B$3,$E$3,B$5,FALSE)</f>
        <v>#NAME?</v>
      </c>
      <c r="C92" t="e">
        <f ca="1">NF_DIST($A92,$B$3,$E$3,C$5,FALSE)</f>
        <v>#NAME?</v>
      </c>
      <c r="D92" t="e">
        <f ca="1">NF_DIST($A92,$B$3,$E$3,D$5,FALSE)</f>
        <v>#NAME?</v>
      </c>
      <c r="E92" t="e">
        <f ca="1">NF_DIST($A92,$B$3,$E$3,E$5,FALSE)</f>
        <v>#NAME?</v>
      </c>
      <c r="F92" t="e">
        <f ca="1">NF_DIST($A92,$B$3,$E$3,F$5,FALSE)</f>
        <v>#NAME?</v>
      </c>
    </row>
    <row r="93" spans="1:6" x14ac:dyDescent="0.25">
      <c r="A93">
        <f t="shared" si="1"/>
        <v>8.4999999999999858</v>
      </c>
      <c r="B93" t="e">
        <f ca="1">NF_DIST($A93,$B$3,$E$3,B$5,FALSE)</f>
        <v>#NAME?</v>
      </c>
      <c r="C93" t="e">
        <f ca="1">NF_DIST($A93,$B$3,$E$3,C$5,FALSE)</f>
        <v>#NAME?</v>
      </c>
      <c r="D93" t="e">
        <f ca="1">NF_DIST($A93,$B$3,$E$3,D$5,FALSE)</f>
        <v>#NAME?</v>
      </c>
      <c r="E93" t="e">
        <f ca="1">NF_DIST($A93,$B$3,$E$3,E$5,FALSE)</f>
        <v>#NAME?</v>
      </c>
      <c r="F93" t="e">
        <f ca="1">NF_DIST($A93,$B$3,$E$3,F$5,FALSE)</f>
        <v>#NAME?</v>
      </c>
    </row>
    <row r="94" spans="1:6" x14ac:dyDescent="0.25">
      <c r="A94">
        <f t="shared" si="1"/>
        <v>8.5999999999999854</v>
      </c>
      <c r="B94" t="e">
        <f ca="1">NF_DIST($A94,$B$3,$E$3,B$5,FALSE)</f>
        <v>#NAME?</v>
      </c>
      <c r="C94" t="e">
        <f ca="1">NF_DIST($A94,$B$3,$E$3,C$5,FALSE)</f>
        <v>#NAME?</v>
      </c>
      <c r="D94" t="e">
        <f ca="1">NF_DIST($A94,$B$3,$E$3,D$5,FALSE)</f>
        <v>#NAME?</v>
      </c>
      <c r="E94" t="e">
        <f ca="1">NF_DIST($A94,$B$3,$E$3,E$5,FALSE)</f>
        <v>#NAME?</v>
      </c>
      <c r="F94" t="e">
        <f ca="1">NF_DIST($A94,$B$3,$E$3,F$5,FALSE)</f>
        <v>#NAME?</v>
      </c>
    </row>
    <row r="95" spans="1:6" x14ac:dyDescent="0.25">
      <c r="A95">
        <f t="shared" si="1"/>
        <v>8.6999999999999851</v>
      </c>
      <c r="B95" t="e">
        <f ca="1">NF_DIST($A95,$B$3,$E$3,B$5,FALSE)</f>
        <v>#NAME?</v>
      </c>
      <c r="C95" t="e">
        <f ca="1">NF_DIST($A95,$B$3,$E$3,C$5,FALSE)</f>
        <v>#NAME?</v>
      </c>
      <c r="D95" t="e">
        <f ca="1">NF_DIST($A95,$B$3,$E$3,D$5,FALSE)</f>
        <v>#NAME?</v>
      </c>
      <c r="E95" t="e">
        <f ca="1">NF_DIST($A95,$B$3,$E$3,E$5,FALSE)</f>
        <v>#NAME?</v>
      </c>
      <c r="F95" t="e">
        <f ca="1">NF_DIST($A95,$B$3,$E$3,F$5,FALSE)</f>
        <v>#NAME?</v>
      </c>
    </row>
    <row r="96" spans="1:6" x14ac:dyDescent="0.25">
      <c r="A96">
        <f t="shared" si="1"/>
        <v>8.7999999999999847</v>
      </c>
      <c r="B96" t="e">
        <f ca="1">NF_DIST($A96,$B$3,$E$3,B$5,FALSE)</f>
        <v>#NAME?</v>
      </c>
      <c r="C96" t="e">
        <f ca="1">NF_DIST($A96,$B$3,$E$3,C$5,FALSE)</f>
        <v>#NAME?</v>
      </c>
      <c r="D96" t="e">
        <f ca="1">NF_DIST($A96,$B$3,$E$3,D$5,FALSE)</f>
        <v>#NAME?</v>
      </c>
      <c r="E96" t="e">
        <f ca="1">NF_DIST($A96,$B$3,$E$3,E$5,FALSE)</f>
        <v>#NAME?</v>
      </c>
      <c r="F96" t="e">
        <f ca="1">NF_DIST($A96,$B$3,$E$3,F$5,FALSE)</f>
        <v>#NAME?</v>
      </c>
    </row>
    <row r="97" spans="1:6" x14ac:dyDescent="0.25">
      <c r="A97">
        <f t="shared" si="1"/>
        <v>8.8999999999999844</v>
      </c>
      <c r="B97" t="e">
        <f ca="1">NF_DIST($A97,$B$3,$E$3,B$5,FALSE)</f>
        <v>#NAME?</v>
      </c>
      <c r="C97" t="e">
        <f ca="1">NF_DIST($A97,$B$3,$E$3,C$5,FALSE)</f>
        <v>#NAME?</v>
      </c>
      <c r="D97" t="e">
        <f ca="1">NF_DIST($A97,$B$3,$E$3,D$5,FALSE)</f>
        <v>#NAME?</v>
      </c>
      <c r="E97" t="e">
        <f ca="1">NF_DIST($A97,$B$3,$E$3,E$5,FALSE)</f>
        <v>#NAME?</v>
      </c>
      <c r="F97" t="e">
        <f ca="1">NF_DIST($A97,$B$3,$E$3,F$5,FALSE)</f>
        <v>#NAME?</v>
      </c>
    </row>
    <row r="98" spans="1:6" x14ac:dyDescent="0.25">
      <c r="A98">
        <f t="shared" si="1"/>
        <v>8.999999999999984</v>
      </c>
      <c r="B98" t="e">
        <f ca="1">NF_DIST($A98,$B$3,$E$3,B$5,FALSE)</f>
        <v>#NAME?</v>
      </c>
      <c r="C98" t="e">
        <f ca="1">NF_DIST($A98,$B$3,$E$3,C$5,FALSE)</f>
        <v>#NAME?</v>
      </c>
      <c r="D98" t="e">
        <f ca="1">NF_DIST($A98,$B$3,$E$3,D$5,FALSE)</f>
        <v>#NAME?</v>
      </c>
      <c r="E98" t="e">
        <f ca="1">NF_DIST($A98,$B$3,$E$3,E$5,FALSE)</f>
        <v>#NAME?</v>
      </c>
      <c r="F98" t="e">
        <f ca="1">NF_DIST($A98,$B$3,$E$3,F$5,FALSE)</f>
        <v>#NAME?</v>
      </c>
    </row>
    <row r="99" spans="1:6" x14ac:dyDescent="0.25">
      <c r="A99">
        <f t="shared" si="1"/>
        <v>9.0999999999999837</v>
      </c>
      <c r="B99" t="e">
        <f ca="1">NF_DIST($A99,$B$3,$E$3,B$5,FALSE)</f>
        <v>#NAME?</v>
      </c>
      <c r="C99" t="e">
        <f ca="1">NF_DIST($A99,$B$3,$E$3,C$5,FALSE)</f>
        <v>#NAME?</v>
      </c>
      <c r="D99" t="e">
        <f ca="1">NF_DIST($A99,$B$3,$E$3,D$5,FALSE)</f>
        <v>#NAME?</v>
      </c>
      <c r="E99" t="e">
        <f ca="1">NF_DIST($A99,$B$3,$E$3,E$5,FALSE)</f>
        <v>#NAME?</v>
      </c>
      <c r="F99" t="e">
        <f ca="1">NF_DIST($A99,$B$3,$E$3,F$5,FALSE)</f>
        <v>#NAME?</v>
      </c>
    </row>
    <row r="100" spans="1:6" x14ac:dyDescent="0.25">
      <c r="A100">
        <f t="shared" si="1"/>
        <v>9.1999999999999833</v>
      </c>
      <c r="B100" t="e">
        <f ca="1">NF_DIST($A100,$B$3,$E$3,B$5,FALSE)</f>
        <v>#NAME?</v>
      </c>
      <c r="C100" t="e">
        <f ca="1">NF_DIST($A100,$B$3,$E$3,C$5,FALSE)</f>
        <v>#NAME?</v>
      </c>
      <c r="D100" t="e">
        <f ca="1">NF_DIST($A100,$B$3,$E$3,D$5,FALSE)</f>
        <v>#NAME?</v>
      </c>
      <c r="E100" t="e">
        <f ca="1">NF_DIST($A100,$B$3,$E$3,E$5,FALSE)</f>
        <v>#NAME?</v>
      </c>
      <c r="F100" t="e">
        <f ca="1">NF_DIST($A100,$B$3,$E$3,F$5,FALSE)</f>
        <v>#NAME?</v>
      </c>
    </row>
    <row r="101" spans="1:6" x14ac:dyDescent="0.25">
      <c r="A101">
        <f t="shared" si="1"/>
        <v>9.2999999999999829</v>
      </c>
      <c r="B101" t="e">
        <f ca="1">NF_DIST($A101,$B$3,$E$3,B$5,FALSE)</f>
        <v>#NAME?</v>
      </c>
      <c r="C101" t="e">
        <f ca="1">NF_DIST($A101,$B$3,$E$3,C$5,FALSE)</f>
        <v>#NAME?</v>
      </c>
      <c r="D101" t="e">
        <f ca="1">NF_DIST($A101,$B$3,$E$3,D$5,FALSE)</f>
        <v>#NAME?</v>
      </c>
      <c r="E101" t="e">
        <f ca="1">NF_DIST($A101,$B$3,$E$3,E$5,FALSE)</f>
        <v>#NAME?</v>
      </c>
      <c r="F101" t="e">
        <f ca="1">NF_DIST($A101,$B$3,$E$3,F$5,FALSE)</f>
        <v>#NAME?</v>
      </c>
    </row>
    <row r="102" spans="1:6" x14ac:dyDescent="0.25">
      <c r="A102">
        <f t="shared" ref="A102:A109" si="2">A101+0.1</f>
        <v>9.3999999999999826</v>
      </c>
      <c r="B102" t="e">
        <f ca="1">NF_DIST($A102,$B$3,$E$3,B$5,FALSE)</f>
        <v>#NAME?</v>
      </c>
      <c r="C102" t="e">
        <f ca="1">NF_DIST($A102,$B$3,$E$3,C$5,FALSE)</f>
        <v>#NAME?</v>
      </c>
      <c r="D102" t="e">
        <f ca="1">NF_DIST($A102,$B$3,$E$3,D$5,FALSE)</f>
        <v>#NAME?</v>
      </c>
      <c r="E102" t="e">
        <f ca="1">NF_DIST($A102,$B$3,$E$3,E$5,FALSE)</f>
        <v>#NAME?</v>
      </c>
      <c r="F102" t="e">
        <f ca="1">NF_DIST($A102,$B$3,$E$3,F$5,FALSE)</f>
        <v>#NAME?</v>
      </c>
    </row>
    <row r="103" spans="1:6" x14ac:dyDescent="0.25">
      <c r="A103">
        <f t="shared" si="2"/>
        <v>9.4999999999999822</v>
      </c>
      <c r="B103" t="e">
        <f ca="1">NF_DIST($A103,$B$3,$E$3,B$5,FALSE)</f>
        <v>#NAME?</v>
      </c>
      <c r="C103" t="e">
        <f ca="1">NF_DIST($A103,$B$3,$E$3,C$5,FALSE)</f>
        <v>#NAME?</v>
      </c>
      <c r="D103" t="e">
        <f ca="1">NF_DIST($A103,$B$3,$E$3,D$5,FALSE)</f>
        <v>#NAME?</v>
      </c>
      <c r="E103" t="e">
        <f ca="1">NF_DIST($A103,$B$3,$E$3,E$5,FALSE)</f>
        <v>#NAME?</v>
      </c>
      <c r="F103" t="e">
        <f ca="1">NF_DIST($A103,$B$3,$E$3,F$5,FALSE)</f>
        <v>#NAME?</v>
      </c>
    </row>
    <row r="104" spans="1:6" x14ac:dyDescent="0.25">
      <c r="A104">
        <f t="shared" si="2"/>
        <v>9.5999999999999819</v>
      </c>
      <c r="B104" t="e">
        <f ca="1">NF_DIST($A104,$B$3,$E$3,B$5,FALSE)</f>
        <v>#NAME?</v>
      </c>
      <c r="C104" t="e">
        <f ca="1">NF_DIST($A104,$B$3,$E$3,C$5,FALSE)</f>
        <v>#NAME?</v>
      </c>
      <c r="D104" t="e">
        <f ca="1">NF_DIST($A104,$B$3,$E$3,D$5,FALSE)</f>
        <v>#NAME?</v>
      </c>
      <c r="E104" t="e">
        <f ca="1">NF_DIST($A104,$B$3,$E$3,E$5,FALSE)</f>
        <v>#NAME?</v>
      </c>
      <c r="F104" t="e">
        <f ca="1">NF_DIST($A104,$B$3,$E$3,F$5,FALSE)</f>
        <v>#NAME?</v>
      </c>
    </row>
    <row r="105" spans="1:6" x14ac:dyDescent="0.25">
      <c r="A105">
        <f t="shared" si="2"/>
        <v>9.6999999999999815</v>
      </c>
      <c r="B105" t="e">
        <f ca="1">NF_DIST($A105,$B$3,$E$3,B$5,FALSE)</f>
        <v>#NAME?</v>
      </c>
      <c r="C105" t="e">
        <f ca="1">NF_DIST($A105,$B$3,$E$3,C$5,FALSE)</f>
        <v>#NAME?</v>
      </c>
      <c r="D105" t="e">
        <f ca="1">NF_DIST($A105,$B$3,$E$3,D$5,FALSE)</f>
        <v>#NAME?</v>
      </c>
      <c r="E105" t="e">
        <f ca="1">NF_DIST($A105,$B$3,$E$3,E$5,FALSE)</f>
        <v>#NAME?</v>
      </c>
      <c r="F105" t="e">
        <f ca="1">NF_DIST($A105,$B$3,$E$3,F$5,FALSE)</f>
        <v>#NAME?</v>
      </c>
    </row>
    <row r="106" spans="1:6" x14ac:dyDescent="0.25">
      <c r="A106">
        <f t="shared" si="2"/>
        <v>9.7999999999999812</v>
      </c>
      <c r="B106" t="e">
        <f ca="1">NF_DIST($A106,$B$3,$E$3,B$5,FALSE)</f>
        <v>#NAME?</v>
      </c>
      <c r="C106" t="e">
        <f ca="1">NF_DIST($A106,$B$3,$E$3,C$5,FALSE)</f>
        <v>#NAME?</v>
      </c>
      <c r="D106" t="e">
        <f ca="1">NF_DIST($A106,$B$3,$E$3,D$5,FALSE)</f>
        <v>#NAME?</v>
      </c>
      <c r="E106" t="e">
        <f ca="1">NF_DIST($A106,$B$3,$E$3,E$5,FALSE)</f>
        <v>#NAME?</v>
      </c>
      <c r="F106" t="e">
        <f ca="1">NF_DIST($A106,$B$3,$E$3,F$5,FALSE)</f>
        <v>#NAME?</v>
      </c>
    </row>
    <row r="107" spans="1:6" x14ac:dyDescent="0.25">
      <c r="A107">
        <f t="shared" si="2"/>
        <v>9.8999999999999808</v>
      </c>
      <c r="B107" t="e">
        <f ca="1">NF_DIST($A107,$B$3,$E$3,B$5,FALSE)</f>
        <v>#NAME?</v>
      </c>
      <c r="C107" t="e">
        <f ca="1">NF_DIST($A107,$B$3,$E$3,C$5,FALSE)</f>
        <v>#NAME?</v>
      </c>
      <c r="D107" t="e">
        <f ca="1">NF_DIST($A107,$B$3,$E$3,D$5,FALSE)</f>
        <v>#NAME?</v>
      </c>
      <c r="E107" t="e">
        <f ca="1">NF_DIST($A107,$B$3,$E$3,E$5,FALSE)</f>
        <v>#NAME?</v>
      </c>
      <c r="F107" t="e">
        <f ca="1">NF_DIST($A107,$B$3,$E$3,F$5,FALSE)</f>
        <v>#NAME?</v>
      </c>
    </row>
    <row r="108" spans="1:6" x14ac:dyDescent="0.25">
      <c r="A108">
        <f t="shared" si="2"/>
        <v>9.9999999999999805</v>
      </c>
      <c r="B108" t="e">
        <f ca="1">NF_DIST($A108,$B$3,$E$3,B$5,FALSE)</f>
        <v>#NAME?</v>
      </c>
      <c r="C108" t="e">
        <f ca="1">NF_DIST($A108,$B$3,$E$3,C$5,FALSE)</f>
        <v>#NAME?</v>
      </c>
      <c r="D108" t="e">
        <f ca="1">NF_DIST($A108,$B$3,$E$3,D$5,FALSE)</f>
        <v>#NAME?</v>
      </c>
      <c r="E108" t="e">
        <f ca="1">NF_DIST($A108,$B$3,$E$3,E$5,FALSE)</f>
        <v>#NAME?</v>
      </c>
      <c r="F108" t="e">
        <f ca="1">NF_DIST($A108,$B$3,$E$3,F$5,FALSE)</f>
        <v>#NAME?</v>
      </c>
    </row>
    <row r="109" spans="1:6" x14ac:dyDescent="0.25">
      <c r="A109">
        <f t="shared" si="2"/>
        <v>10.09999999999998</v>
      </c>
      <c r="B109" t="e">
        <f ca="1">NF_DIST($A109,$B$3,$E$3,B$5,FALSE)</f>
        <v>#NAME?</v>
      </c>
      <c r="C109" t="e">
        <f ca="1">NF_DIST($A109,$B$3,$E$3,C$5,FALSE)</f>
        <v>#NAME?</v>
      </c>
      <c r="D109" t="e">
        <f ca="1">NF_DIST($A109,$B$3,$E$3,D$5,FALSE)</f>
        <v>#NAME?</v>
      </c>
      <c r="E109" t="e">
        <f ca="1">NF_DIST($A109,$B$3,$E$3,E$5,FALSE)</f>
        <v>#NAME?</v>
      </c>
      <c r="F109" t="e">
        <f ca="1">NF_DIST($A109,$B$3,$E$3,F$5,FALSE)</f>
        <v>#NAME?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D11"/>
  <sheetViews>
    <sheetView workbookViewId="0"/>
  </sheetViews>
  <sheetFormatPr defaultRowHeight="15" x14ac:dyDescent="0.25"/>
  <cols>
    <col min="1" max="1" width="2.5703125" customWidth="1"/>
    <col min="2" max="2" width="22.140625" customWidth="1"/>
    <col min="3" max="3" width="3.140625" customWidth="1"/>
    <col min="4" max="4" width="16" customWidth="1"/>
  </cols>
  <sheetData>
    <row r="1" spans="1:4" x14ac:dyDescent="0.25">
      <c r="A1" s="1" t="s">
        <v>1244</v>
      </c>
    </row>
    <row r="3" spans="1:4" x14ac:dyDescent="0.25">
      <c r="B3" s="439" t="e">
        <f ca="1">VER()</f>
        <v>#NAME?</v>
      </c>
      <c r="D3" t="e">
        <f ca="1">FTEXT(B3)</f>
        <v>#NAME?</v>
      </c>
    </row>
    <row r="4" spans="1:4" x14ac:dyDescent="0.25">
      <c r="B4" s="163" t="e">
        <f ca="1">ExcelVer()</f>
        <v>#NAME?</v>
      </c>
      <c r="D4" t="e">
        <f ca="1">FTEXT(B4)</f>
        <v>#NAME?</v>
      </c>
    </row>
    <row r="5" spans="1:4" x14ac:dyDescent="0.25">
      <c r="B5" s="155" t="e">
        <f ca="1">FTEXT(B4)</f>
        <v>#NAME?</v>
      </c>
      <c r="D5" t="e">
        <f ca="1">FTEXT(B5)</f>
        <v>#NAME?</v>
      </c>
    </row>
    <row r="7" spans="1:4" x14ac:dyDescent="0.25">
      <c r="B7" s="439" t="e">
        <f ca="1">ColLabel(5)</f>
        <v>#NAME?</v>
      </c>
      <c r="D7" t="e">
        <f ca="1">FTEXT(B7)</f>
        <v>#NAME?</v>
      </c>
    </row>
    <row r="8" spans="1:4" x14ac:dyDescent="0.25">
      <c r="B8" s="163" t="e">
        <f ca="1">ColLabel(50)</f>
        <v>#NAME?</v>
      </c>
      <c r="D8" t="e">
        <f ca="1">FTEXT(B8)</f>
        <v>#NAME?</v>
      </c>
    </row>
    <row r="9" spans="1:4" x14ac:dyDescent="0.25">
      <c r="B9" s="155" t="e">
        <f ca="1">ColLabel(15000)</f>
        <v>#NAME?</v>
      </c>
      <c r="D9" t="e">
        <f ca="1">FTEXT(B9)</f>
        <v>#NAME?</v>
      </c>
    </row>
    <row r="11" spans="1:4" x14ac:dyDescent="0.25">
      <c r="B11" s="205">
        <f>COLUMN(AY1)</f>
        <v>51</v>
      </c>
      <c r="D11" t="e">
        <f ca="1">FTEXT(B11)</f>
        <v>#NAME?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B1:E9"/>
  <sheetViews>
    <sheetView workbookViewId="0">
      <selection activeCell="E8" sqref="E8"/>
    </sheetView>
  </sheetViews>
  <sheetFormatPr defaultRowHeight="15" x14ac:dyDescent="0.25"/>
  <cols>
    <col min="1" max="1" width="5.5703125" customWidth="1"/>
  </cols>
  <sheetData>
    <row r="1" spans="2:5" x14ac:dyDescent="0.25">
      <c r="B1" s="1" t="s">
        <v>1346</v>
      </c>
    </row>
    <row r="3" spans="2:5" x14ac:dyDescent="0.25">
      <c r="B3" s="487" t="s">
        <v>814</v>
      </c>
      <c r="C3" s="487" t="s">
        <v>1347</v>
      </c>
      <c r="D3" s="487" t="s">
        <v>1348</v>
      </c>
      <c r="E3" s="487" t="s">
        <v>1349</v>
      </c>
    </row>
    <row r="4" spans="2:5" x14ac:dyDescent="0.25">
      <c r="B4">
        <v>1</v>
      </c>
      <c r="C4">
        <v>5</v>
      </c>
      <c r="D4">
        <v>8</v>
      </c>
      <c r="E4">
        <v>3</v>
      </c>
    </row>
    <row r="5" spans="2:5" x14ac:dyDescent="0.25">
      <c r="B5">
        <v>2</v>
      </c>
      <c r="C5">
        <v>7</v>
      </c>
      <c r="D5">
        <v>10</v>
      </c>
      <c r="E5">
        <v>5</v>
      </c>
    </row>
    <row r="6" spans="2:5" x14ac:dyDescent="0.25">
      <c r="B6">
        <v>3</v>
      </c>
      <c r="C6">
        <v>4</v>
      </c>
      <c r="D6">
        <v>15</v>
      </c>
      <c r="E6">
        <v>10</v>
      </c>
    </row>
    <row r="7" spans="2:5" x14ac:dyDescent="0.25">
      <c r="B7">
        <v>4</v>
      </c>
      <c r="C7">
        <v>8</v>
      </c>
      <c r="D7">
        <v>17</v>
      </c>
      <c r="E7">
        <v>10</v>
      </c>
    </row>
    <row r="8" spans="2:5" x14ac:dyDescent="0.25">
      <c r="B8">
        <v>5</v>
      </c>
      <c r="C8">
        <v>10</v>
      </c>
      <c r="D8">
        <v>20</v>
      </c>
      <c r="E8">
        <v>15</v>
      </c>
    </row>
    <row r="9" spans="2:5" x14ac:dyDescent="0.25">
      <c r="B9" s="276">
        <v>6</v>
      </c>
      <c r="C9" s="276">
        <v>14</v>
      </c>
      <c r="D9" s="276">
        <v>25</v>
      </c>
      <c r="E9" s="276">
        <v>20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B7"/>
  <sheetViews>
    <sheetView workbookViewId="0"/>
  </sheetViews>
  <sheetFormatPr defaultRowHeight="15" x14ac:dyDescent="0.25"/>
  <sheetData>
    <row r="1" spans="1:2" x14ac:dyDescent="0.25">
      <c r="A1" s="1" t="s">
        <v>557</v>
      </c>
    </row>
    <row r="3" spans="1:2" x14ac:dyDescent="0.25">
      <c r="A3" t="s">
        <v>105</v>
      </c>
      <c r="B3" s="204">
        <v>12</v>
      </c>
    </row>
    <row r="4" spans="1:2" x14ac:dyDescent="0.25">
      <c r="A4" t="s">
        <v>250</v>
      </c>
      <c r="B4" s="163">
        <f>1/6</f>
        <v>0.16666666666666666</v>
      </c>
    </row>
    <row r="5" spans="1:2" x14ac:dyDescent="0.25">
      <c r="A5" t="s">
        <v>558</v>
      </c>
      <c r="B5" s="163">
        <f>1-B4</f>
        <v>0.83333333333333337</v>
      </c>
    </row>
    <row r="6" spans="1:2" x14ac:dyDescent="0.25">
      <c r="A6" t="s">
        <v>559</v>
      </c>
      <c r="B6" s="163">
        <f>B5^B3</f>
        <v>0.11215665478461519</v>
      </c>
    </row>
    <row r="7" spans="1:2" x14ac:dyDescent="0.25">
      <c r="A7" t="s">
        <v>560</v>
      </c>
      <c r="B7" s="155">
        <f>1-B6</f>
        <v>0.88784334521538477</v>
      </c>
    </row>
  </sheetData>
  <pageMargins left="0.7" right="0.7" top="0.75" bottom="0.75" header="0.3" footer="0.3"/>
  <ignoredErrors>
    <ignoredError sqref="B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463"/>
  <sheetViews>
    <sheetView workbookViewId="0"/>
  </sheetViews>
  <sheetFormatPr defaultRowHeight="15" customHeight="1" x14ac:dyDescent="0.25"/>
  <cols>
    <col min="1" max="1" width="4" customWidth="1"/>
    <col min="2" max="2" width="85.5703125" customWidth="1"/>
  </cols>
  <sheetData>
    <row r="1" spans="1:2" x14ac:dyDescent="0.25">
      <c r="A1" s="1" t="s">
        <v>1489</v>
      </c>
      <c r="B1" s="1"/>
    </row>
    <row r="2" spans="1:2" x14ac:dyDescent="0.25">
      <c r="A2" s="1" t="s">
        <v>1736</v>
      </c>
      <c r="B2" s="1"/>
    </row>
    <row r="3" spans="1:2" x14ac:dyDescent="0.25">
      <c r="A3" s="1"/>
      <c r="B3" s="1"/>
    </row>
    <row r="4" spans="1:2" x14ac:dyDescent="0.25">
      <c r="A4" s="237" t="s">
        <v>1639</v>
      </c>
    </row>
    <row r="6" spans="1:2" ht="15" customHeight="1" x14ac:dyDescent="0.25">
      <c r="A6" s="1" t="s">
        <v>0</v>
      </c>
    </row>
    <row r="7" spans="1:2" ht="15" customHeight="1" x14ac:dyDescent="0.25">
      <c r="A7" s="1"/>
    </row>
    <row r="8" spans="1:2" ht="15" customHeight="1" x14ac:dyDescent="0.25">
      <c r="A8" s="1" t="s">
        <v>572</v>
      </c>
    </row>
    <row r="10" spans="1:2" ht="15" customHeight="1" x14ac:dyDescent="0.25">
      <c r="A10" t="s">
        <v>570</v>
      </c>
    </row>
    <row r="11" spans="1:2" ht="15" customHeight="1" x14ac:dyDescent="0.25">
      <c r="B11" s="2" t="s">
        <v>580</v>
      </c>
    </row>
    <row r="13" spans="1:2" ht="15" customHeight="1" x14ac:dyDescent="0.25">
      <c r="A13" t="s">
        <v>571</v>
      </c>
    </row>
    <row r="14" spans="1:2" ht="15" customHeight="1" x14ac:dyDescent="0.25">
      <c r="B14" s="2" t="s">
        <v>581</v>
      </c>
    </row>
    <row r="15" spans="1:2" ht="15" customHeight="1" x14ac:dyDescent="0.25">
      <c r="B15" s="2" t="s">
        <v>582</v>
      </c>
    </row>
    <row r="16" spans="1:2" ht="15" customHeight="1" x14ac:dyDescent="0.25">
      <c r="B16" s="2" t="s">
        <v>763</v>
      </c>
    </row>
    <row r="17" spans="1:2" ht="15" customHeight="1" x14ac:dyDescent="0.25">
      <c r="B17" s="2" t="s">
        <v>1341</v>
      </c>
    </row>
    <row r="18" spans="1:2" ht="15" customHeight="1" x14ac:dyDescent="0.25">
      <c r="B18" s="2" t="s">
        <v>1342</v>
      </c>
    </row>
    <row r="20" spans="1:2" ht="15" customHeight="1" x14ac:dyDescent="0.25">
      <c r="A20" t="s">
        <v>575</v>
      </c>
    </row>
    <row r="21" spans="1:2" ht="15" customHeight="1" x14ac:dyDescent="0.25">
      <c r="B21" s="2" t="s">
        <v>583</v>
      </c>
    </row>
    <row r="22" spans="1:2" ht="15" customHeight="1" x14ac:dyDescent="0.25">
      <c r="B22" s="2" t="s">
        <v>584</v>
      </c>
    </row>
    <row r="23" spans="1:2" ht="15" customHeight="1" x14ac:dyDescent="0.25">
      <c r="B23" s="2"/>
    </row>
    <row r="24" spans="1:2" ht="15" customHeight="1" x14ac:dyDescent="0.25">
      <c r="A24" t="s">
        <v>803</v>
      </c>
      <c r="B24" s="2"/>
    </row>
    <row r="25" spans="1:2" ht="15" customHeight="1" x14ac:dyDescent="0.25">
      <c r="B25" s="2" t="s">
        <v>811</v>
      </c>
    </row>
    <row r="26" spans="1:2" ht="15" customHeight="1" x14ac:dyDescent="0.25">
      <c r="B26" s="2" t="s">
        <v>810</v>
      </c>
    </row>
    <row r="27" spans="1:2" ht="15" customHeight="1" x14ac:dyDescent="0.25">
      <c r="B27" s="2" t="s">
        <v>809</v>
      </c>
    </row>
    <row r="28" spans="1:2" ht="15" customHeight="1" x14ac:dyDescent="0.25">
      <c r="B28" s="2"/>
    </row>
    <row r="29" spans="1:2" s="1" customFormat="1" ht="15" customHeight="1" x14ac:dyDescent="0.25">
      <c r="A29" s="24" t="s">
        <v>997</v>
      </c>
      <c r="B29" s="240"/>
    </row>
    <row r="30" spans="1:2" s="1" customFormat="1" ht="15" customHeight="1" x14ac:dyDescent="0.25">
      <c r="B30" s="2" t="s">
        <v>998</v>
      </c>
    </row>
    <row r="31" spans="1:2" ht="15" customHeight="1" x14ac:dyDescent="0.25">
      <c r="B31" s="2"/>
    </row>
    <row r="32" spans="1:2" ht="15" customHeight="1" x14ac:dyDescent="0.25">
      <c r="A32" s="1" t="s">
        <v>990</v>
      </c>
      <c r="B32" s="2"/>
    </row>
    <row r="33" spans="1:2" ht="15" customHeight="1" x14ac:dyDescent="0.25">
      <c r="B33" s="2"/>
    </row>
    <row r="34" spans="1:2" ht="15" customHeight="1" x14ac:dyDescent="0.25">
      <c r="A34" t="s">
        <v>991</v>
      </c>
      <c r="B34" s="2"/>
    </row>
    <row r="35" spans="1:2" ht="15" customHeight="1" x14ac:dyDescent="0.25">
      <c r="B35" s="2" t="s">
        <v>992</v>
      </c>
    </row>
    <row r="36" spans="1:2" ht="15" customHeight="1" x14ac:dyDescent="0.25">
      <c r="B36" s="2" t="s">
        <v>996</v>
      </c>
    </row>
    <row r="37" spans="1:2" ht="15" customHeight="1" x14ac:dyDescent="0.25">
      <c r="B37" s="2" t="s">
        <v>1243</v>
      </c>
    </row>
    <row r="38" spans="1:2" ht="15" customHeight="1" x14ac:dyDescent="0.25">
      <c r="B38" s="2"/>
    </row>
    <row r="39" spans="1:2" ht="15" customHeight="1" x14ac:dyDescent="0.25">
      <c r="A39" t="s">
        <v>743</v>
      </c>
      <c r="B39" s="2"/>
    </row>
    <row r="40" spans="1:2" ht="15" customHeight="1" x14ac:dyDescent="0.25">
      <c r="B40" s="2" t="s">
        <v>1307</v>
      </c>
    </row>
    <row r="41" spans="1:2" ht="15" customHeight="1" x14ac:dyDescent="0.25">
      <c r="B41" s="2" t="s">
        <v>1308</v>
      </c>
    </row>
    <row r="42" spans="1:2" ht="15" customHeight="1" x14ac:dyDescent="0.25">
      <c r="B42" s="2"/>
    </row>
    <row r="43" spans="1:2" ht="15" customHeight="1" x14ac:dyDescent="0.25">
      <c r="A43" t="s">
        <v>744</v>
      </c>
      <c r="B43" s="2"/>
    </row>
    <row r="44" spans="1:2" ht="15" customHeight="1" x14ac:dyDescent="0.25">
      <c r="B44" s="2" t="s">
        <v>1309</v>
      </c>
    </row>
    <row r="45" spans="1:2" ht="15" customHeight="1" x14ac:dyDescent="0.25">
      <c r="B45" s="2" t="s">
        <v>1310</v>
      </c>
    </row>
    <row r="46" spans="1:2" ht="15" customHeight="1" x14ac:dyDescent="0.25">
      <c r="B46" s="2"/>
    </row>
    <row r="47" spans="1:2" ht="15" customHeight="1" x14ac:dyDescent="0.25">
      <c r="A47" t="s">
        <v>1245</v>
      </c>
      <c r="B47" s="2"/>
    </row>
    <row r="48" spans="1:2" ht="15" customHeight="1" x14ac:dyDescent="0.25">
      <c r="B48" s="2" t="s">
        <v>1246</v>
      </c>
    </row>
    <row r="49" spans="1:2" ht="15" customHeight="1" x14ac:dyDescent="0.25">
      <c r="B49" s="2"/>
    </row>
    <row r="50" spans="1:2" ht="15" customHeight="1" x14ac:dyDescent="0.25">
      <c r="A50" t="s">
        <v>1350</v>
      </c>
      <c r="B50" s="2"/>
    </row>
    <row r="51" spans="1:2" ht="15" customHeight="1" x14ac:dyDescent="0.25">
      <c r="B51" s="2" t="s">
        <v>705</v>
      </c>
    </row>
    <row r="52" spans="1:2" ht="15" customHeight="1" x14ac:dyDescent="0.25">
      <c r="B52" s="2"/>
    </row>
    <row r="53" spans="1:2" ht="15" customHeight="1" x14ac:dyDescent="0.25">
      <c r="A53" s="1" t="s">
        <v>574</v>
      </c>
      <c r="B53" s="2"/>
    </row>
    <row r="54" spans="1:2" ht="15" customHeight="1" x14ac:dyDescent="0.25">
      <c r="B54" s="2"/>
    </row>
    <row r="55" spans="1:2" ht="15" customHeight="1" x14ac:dyDescent="0.25">
      <c r="A55" t="s">
        <v>576</v>
      </c>
      <c r="B55" s="2"/>
    </row>
    <row r="56" spans="1:2" ht="15" customHeight="1" x14ac:dyDescent="0.25">
      <c r="B56" s="2" t="s">
        <v>585</v>
      </c>
    </row>
    <row r="58" spans="1:2" ht="15" customHeight="1" x14ac:dyDescent="0.25">
      <c r="A58" t="s">
        <v>577</v>
      </c>
    </row>
    <row r="59" spans="1:2" ht="15" customHeight="1" x14ac:dyDescent="0.25">
      <c r="B59" s="2" t="s">
        <v>586</v>
      </c>
    </row>
    <row r="60" spans="1:2" ht="15" customHeight="1" x14ac:dyDescent="0.25">
      <c r="B60" s="2" t="s">
        <v>587</v>
      </c>
    </row>
    <row r="61" spans="1:2" ht="15" customHeight="1" x14ac:dyDescent="0.25">
      <c r="B61" s="2" t="s">
        <v>1228</v>
      </c>
    </row>
    <row r="62" spans="1:2" ht="15" customHeight="1" x14ac:dyDescent="0.25">
      <c r="B62" s="2" t="s">
        <v>751</v>
      </c>
    </row>
    <row r="63" spans="1:2" ht="15" customHeight="1" x14ac:dyDescent="0.25">
      <c r="B63" s="2"/>
    </row>
    <row r="64" spans="1:2" ht="15" customHeight="1" x14ac:dyDescent="0.25">
      <c r="A64" t="s">
        <v>1485</v>
      </c>
      <c r="B64" s="2"/>
    </row>
    <row r="65" spans="1:2" ht="15" customHeight="1" x14ac:dyDescent="0.25">
      <c r="B65" s="2" t="s">
        <v>1486</v>
      </c>
    </row>
    <row r="66" spans="1:2" ht="15" customHeight="1" x14ac:dyDescent="0.25">
      <c r="B66" s="2"/>
    </row>
    <row r="67" spans="1:2" ht="15" customHeight="1" x14ac:dyDescent="0.25">
      <c r="A67" s="1" t="s">
        <v>94</v>
      </c>
      <c r="B67" s="2"/>
    </row>
    <row r="68" spans="1:2" ht="15" customHeight="1" x14ac:dyDescent="0.25">
      <c r="B68" s="2"/>
    </row>
    <row r="69" spans="1:2" ht="15" customHeight="1" x14ac:dyDescent="0.25">
      <c r="A69" t="s">
        <v>578</v>
      </c>
      <c r="B69" s="2"/>
    </row>
    <row r="70" spans="1:2" ht="15" customHeight="1" x14ac:dyDescent="0.25">
      <c r="B70" s="2" t="s">
        <v>1169</v>
      </c>
    </row>
    <row r="71" spans="1:2" ht="15" customHeight="1" x14ac:dyDescent="0.25">
      <c r="B71" s="2" t="s">
        <v>1168</v>
      </c>
    </row>
    <row r="72" spans="1:2" ht="15" customHeight="1" x14ac:dyDescent="0.25">
      <c r="B72" s="2" t="s">
        <v>1247</v>
      </c>
    </row>
    <row r="73" spans="1:2" ht="15" customHeight="1" x14ac:dyDescent="0.25">
      <c r="B73" s="2"/>
    </row>
    <row r="74" spans="1:2" ht="15" customHeight="1" x14ac:dyDescent="0.25">
      <c r="A74" t="s">
        <v>588</v>
      </c>
      <c r="B74" s="2"/>
    </row>
    <row r="75" spans="1:2" ht="15" customHeight="1" x14ac:dyDescent="0.25">
      <c r="B75" s="2" t="s">
        <v>1442</v>
      </c>
    </row>
    <row r="76" spans="1:2" ht="15" customHeight="1" x14ac:dyDescent="0.25">
      <c r="B76" s="2" t="s">
        <v>1170</v>
      </c>
    </row>
    <row r="77" spans="1:2" ht="15" customHeight="1" x14ac:dyDescent="0.25">
      <c r="B77" s="2" t="s">
        <v>1440</v>
      </c>
    </row>
    <row r="78" spans="1:2" ht="15" customHeight="1" x14ac:dyDescent="0.25">
      <c r="B78" s="2" t="s">
        <v>1441</v>
      </c>
    </row>
    <row r="79" spans="1:2" ht="15" customHeight="1" x14ac:dyDescent="0.25">
      <c r="B79" s="2"/>
    </row>
    <row r="80" spans="1:2" ht="15" customHeight="1" x14ac:dyDescent="0.25">
      <c r="A80" t="s">
        <v>1248</v>
      </c>
      <c r="B80" s="2"/>
    </row>
    <row r="81" spans="1:2" ht="15" customHeight="1" x14ac:dyDescent="0.25">
      <c r="B81" s="2" t="s">
        <v>787</v>
      </c>
    </row>
    <row r="82" spans="1:2" ht="15" customHeight="1" x14ac:dyDescent="0.25">
      <c r="B82" s="2" t="s">
        <v>589</v>
      </c>
    </row>
    <row r="83" spans="1:2" ht="15" customHeight="1" x14ac:dyDescent="0.25">
      <c r="B83" s="2" t="s">
        <v>590</v>
      </c>
    </row>
    <row r="85" spans="1:2" ht="15" customHeight="1" x14ac:dyDescent="0.25">
      <c r="A85" t="s">
        <v>566</v>
      </c>
    </row>
    <row r="86" spans="1:2" ht="15" customHeight="1" x14ac:dyDescent="0.25">
      <c r="B86" s="2" t="s">
        <v>791</v>
      </c>
    </row>
    <row r="87" spans="1:2" ht="15" customHeight="1" x14ac:dyDescent="0.25">
      <c r="B87" s="2" t="s">
        <v>1463</v>
      </c>
    </row>
    <row r="88" spans="1:2" ht="15" customHeight="1" x14ac:dyDescent="0.25">
      <c r="B88" s="2" t="s">
        <v>788</v>
      </c>
    </row>
    <row r="89" spans="1:2" ht="15" customHeight="1" x14ac:dyDescent="0.25">
      <c r="B89" s="2" t="s">
        <v>789</v>
      </c>
    </row>
    <row r="90" spans="1:2" ht="15" customHeight="1" x14ac:dyDescent="0.25">
      <c r="B90" s="2" t="s">
        <v>790</v>
      </c>
    </row>
    <row r="92" spans="1:2" ht="15" customHeight="1" x14ac:dyDescent="0.25">
      <c r="A92" t="s">
        <v>579</v>
      </c>
    </row>
    <row r="93" spans="1:2" ht="15" customHeight="1" x14ac:dyDescent="0.25">
      <c r="B93" s="2" t="s">
        <v>591</v>
      </c>
    </row>
    <row r="94" spans="1:2" ht="15" customHeight="1" x14ac:dyDescent="0.25">
      <c r="B94" s="2" t="s">
        <v>592</v>
      </c>
    </row>
    <row r="95" spans="1:2" ht="15" customHeight="1" x14ac:dyDescent="0.25">
      <c r="B95" s="2" t="s">
        <v>792</v>
      </c>
    </row>
    <row r="97" spans="1:2" ht="15" customHeight="1" x14ac:dyDescent="0.25">
      <c r="A97" t="s">
        <v>593</v>
      </c>
    </row>
    <row r="98" spans="1:2" ht="15" customHeight="1" x14ac:dyDescent="0.25">
      <c r="B98" s="2" t="s">
        <v>594</v>
      </c>
    </row>
    <row r="99" spans="1:2" ht="15" customHeight="1" x14ac:dyDescent="0.25">
      <c r="B99" s="2" t="s">
        <v>586</v>
      </c>
    </row>
    <row r="100" spans="1:2" ht="15" customHeight="1" x14ac:dyDescent="0.25">
      <c r="B100" s="2" t="s">
        <v>595</v>
      </c>
    </row>
    <row r="101" spans="1:2" ht="15" customHeight="1" x14ac:dyDescent="0.25">
      <c r="B101" s="2" t="s">
        <v>596</v>
      </c>
    </row>
    <row r="102" spans="1:2" ht="15" customHeight="1" x14ac:dyDescent="0.25">
      <c r="B102" s="2" t="s">
        <v>1229</v>
      </c>
    </row>
    <row r="103" spans="1:2" ht="15" customHeight="1" x14ac:dyDescent="0.25">
      <c r="B103" s="2" t="s">
        <v>989</v>
      </c>
    </row>
    <row r="104" spans="1:2" ht="15" customHeight="1" x14ac:dyDescent="0.25">
      <c r="B104" s="2" t="s">
        <v>1250</v>
      </c>
    </row>
    <row r="105" spans="1:2" ht="15" customHeight="1" x14ac:dyDescent="0.25">
      <c r="B105" s="2"/>
    </row>
    <row r="106" spans="1:2" ht="15" customHeight="1" x14ac:dyDescent="0.25">
      <c r="A106" t="s">
        <v>597</v>
      </c>
    </row>
    <row r="107" spans="1:2" ht="15" customHeight="1" x14ac:dyDescent="0.25">
      <c r="B107" s="2" t="s">
        <v>598</v>
      </c>
    </row>
    <row r="108" spans="1:2" ht="15" customHeight="1" x14ac:dyDescent="0.25">
      <c r="B108" s="2" t="s">
        <v>750</v>
      </c>
    </row>
    <row r="110" spans="1:2" ht="15" customHeight="1" x14ac:dyDescent="0.25">
      <c r="A110" t="s">
        <v>599</v>
      </c>
    </row>
    <row r="111" spans="1:2" ht="15" customHeight="1" x14ac:dyDescent="0.25">
      <c r="B111" s="2" t="s">
        <v>600</v>
      </c>
    </row>
    <row r="112" spans="1:2" ht="15" customHeight="1" x14ac:dyDescent="0.25">
      <c r="B112" s="2" t="s">
        <v>1251</v>
      </c>
    </row>
    <row r="113" spans="1:2" ht="15" customHeight="1" x14ac:dyDescent="0.25">
      <c r="B113" s="2" t="s">
        <v>1252</v>
      </c>
    </row>
    <row r="114" spans="1:2" ht="15" customHeight="1" x14ac:dyDescent="0.25">
      <c r="B114" s="2" t="s">
        <v>1433</v>
      </c>
    </row>
    <row r="115" spans="1:2" ht="15" customHeight="1" x14ac:dyDescent="0.25">
      <c r="B115" s="2"/>
    </row>
    <row r="116" spans="1:2" ht="15" customHeight="1" x14ac:dyDescent="0.25">
      <c r="A116" t="s">
        <v>1737</v>
      </c>
      <c r="B116" s="2"/>
    </row>
    <row r="117" spans="1:2" ht="15" customHeight="1" x14ac:dyDescent="0.25">
      <c r="B117" s="2" t="s">
        <v>1739</v>
      </c>
    </row>
    <row r="118" spans="1:2" ht="15" customHeight="1" x14ac:dyDescent="0.25">
      <c r="B118" s="2" t="s">
        <v>1740</v>
      </c>
    </row>
    <row r="119" spans="1:2" ht="15" customHeight="1" x14ac:dyDescent="0.25">
      <c r="B119" s="2"/>
    </row>
    <row r="120" spans="1:2" ht="15" customHeight="1" x14ac:dyDescent="0.25">
      <c r="A120" t="s">
        <v>1192</v>
      </c>
      <c r="B120" s="2"/>
    </row>
    <row r="121" spans="1:2" ht="15" customHeight="1" x14ac:dyDescent="0.25">
      <c r="B121" s="2" t="s">
        <v>725</v>
      </c>
    </row>
    <row r="122" spans="1:2" ht="15" customHeight="1" x14ac:dyDescent="0.25">
      <c r="B122" s="2" t="s">
        <v>1265</v>
      </c>
    </row>
    <row r="123" spans="1:2" ht="15" customHeight="1" x14ac:dyDescent="0.25">
      <c r="B123" s="2" t="s">
        <v>1266</v>
      </c>
    </row>
    <row r="124" spans="1:2" ht="15" customHeight="1" x14ac:dyDescent="0.25">
      <c r="B124" s="2" t="s">
        <v>1702</v>
      </c>
    </row>
    <row r="125" spans="1:2" ht="15" customHeight="1" x14ac:dyDescent="0.25">
      <c r="B125" s="2"/>
    </row>
    <row r="126" spans="1:2" ht="15" customHeight="1" x14ac:dyDescent="0.25">
      <c r="A126" t="s">
        <v>960</v>
      </c>
      <c r="B126" s="2"/>
    </row>
    <row r="127" spans="1:2" ht="15" customHeight="1" x14ac:dyDescent="0.25">
      <c r="B127" s="2" t="s">
        <v>961</v>
      </c>
    </row>
    <row r="128" spans="1:2" ht="15" customHeight="1" x14ac:dyDescent="0.25">
      <c r="B128" s="2"/>
    </row>
    <row r="129" spans="1:2" ht="15" customHeight="1" x14ac:dyDescent="0.25">
      <c r="A129" t="s">
        <v>804</v>
      </c>
      <c r="B129" s="2"/>
    </row>
    <row r="130" spans="1:2" ht="15" customHeight="1" x14ac:dyDescent="0.25">
      <c r="B130" s="2" t="s">
        <v>805</v>
      </c>
    </row>
    <row r="131" spans="1:2" ht="15" customHeight="1" x14ac:dyDescent="0.25">
      <c r="B131" s="2" t="s">
        <v>1267</v>
      </c>
    </row>
    <row r="132" spans="1:2" ht="15" customHeight="1" x14ac:dyDescent="0.25">
      <c r="B132" s="2"/>
    </row>
    <row r="133" spans="1:2" ht="15" customHeight="1" x14ac:dyDescent="0.25">
      <c r="A133" t="s">
        <v>1394</v>
      </c>
      <c r="B133" s="2"/>
    </row>
    <row r="134" spans="1:2" ht="15" customHeight="1" x14ac:dyDescent="0.25">
      <c r="B134" s="2" t="s">
        <v>1423</v>
      </c>
    </row>
    <row r="135" spans="1:2" ht="15" customHeight="1" x14ac:dyDescent="0.25">
      <c r="B135" s="2" t="s">
        <v>1425</v>
      </c>
    </row>
    <row r="136" spans="1:2" ht="15" customHeight="1" x14ac:dyDescent="0.25">
      <c r="B136" s="2" t="s">
        <v>1424</v>
      </c>
    </row>
    <row r="137" spans="1:2" ht="15" customHeight="1" x14ac:dyDescent="0.25">
      <c r="B137" s="2" t="s">
        <v>705</v>
      </c>
    </row>
    <row r="138" spans="1:2" ht="15" customHeight="1" x14ac:dyDescent="0.25">
      <c r="B138" s="2"/>
    </row>
    <row r="139" spans="1:2" ht="15" customHeight="1" x14ac:dyDescent="0.25">
      <c r="A139" s="1" t="s">
        <v>601</v>
      </c>
      <c r="B139" s="2"/>
    </row>
    <row r="141" spans="1:2" ht="15" customHeight="1" x14ac:dyDescent="0.25">
      <c r="A141" t="s">
        <v>602</v>
      </c>
    </row>
    <row r="142" spans="1:2" ht="15" customHeight="1" x14ac:dyDescent="0.25">
      <c r="B142" s="2" t="s">
        <v>603</v>
      </c>
    </row>
    <row r="143" spans="1:2" ht="15" customHeight="1" x14ac:dyDescent="0.25">
      <c r="B143" s="2"/>
    </row>
    <row r="144" spans="1:2" ht="15" customHeight="1" x14ac:dyDescent="0.25">
      <c r="A144" s="1" t="s">
        <v>604</v>
      </c>
      <c r="B144" s="2"/>
    </row>
    <row r="146" spans="1:2" ht="15" customHeight="1" x14ac:dyDescent="0.25">
      <c r="A146" t="s">
        <v>606</v>
      </c>
    </row>
    <row r="147" spans="1:2" ht="15" customHeight="1" x14ac:dyDescent="0.25">
      <c r="B147" s="2" t="s">
        <v>1256</v>
      </c>
    </row>
    <row r="148" spans="1:2" ht="15" customHeight="1" x14ac:dyDescent="0.25">
      <c r="B148" s="2" t="s">
        <v>431</v>
      </c>
    </row>
    <row r="149" spans="1:2" ht="15" customHeight="1" x14ac:dyDescent="0.25">
      <c r="B149" s="2" t="s">
        <v>605</v>
      </c>
    </row>
    <row r="150" spans="1:2" ht="15" customHeight="1" x14ac:dyDescent="0.25">
      <c r="B150" s="2"/>
    </row>
    <row r="151" spans="1:2" ht="15" customHeight="1" x14ac:dyDescent="0.25">
      <c r="A151" t="s">
        <v>607</v>
      </c>
      <c r="B151" s="2"/>
    </row>
    <row r="152" spans="1:2" ht="15" customHeight="1" x14ac:dyDescent="0.25">
      <c r="B152" s="2" t="s">
        <v>1257</v>
      </c>
    </row>
    <row r="153" spans="1:2" ht="15" customHeight="1" x14ac:dyDescent="0.25">
      <c r="B153" s="2"/>
    </row>
    <row r="154" spans="1:2" ht="15" customHeight="1" x14ac:dyDescent="0.25">
      <c r="A154" t="s">
        <v>1255</v>
      </c>
      <c r="B154" s="2"/>
    </row>
    <row r="155" spans="1:2" ht="15" customHeight="1" x14ac:dyDescent="0.25">
      <c r="B155" s="2" t="s">
        <v>1258</v>
      </c>
    </row>
    <row r="156" spans="1:2" ht="15" customHeight="1" x14ac:dyDescent="0.25">
      <c r="B156" s="2" t="s">
        <v>1259</v>
      </c>
    </row>
    <row r="157" spans="1:2" ht="15" customHeight="1" x14ac:dyDescent="0.25">
      <c r="B157" s="2"/>
    </row>
    <row r="158" spans="1:2" ht="15" customHeight="1" x14ac:dyDescent="0.25">
      <c r="A158" s="1" t="s">
        <v>608</v>
      </c>
      <c r="B158" s="2"/>
    </row>
    <row r="160" spans="1:2" ht="15" customHeight="1" x14ac:dyDescent="0.25">
      <c r="A160" t="s">
        <v>611</v>
      </c>
    </row>
    <row r="161" spans="1:2" ht="15" customHeight="1" x14ac:dyDescent="0.25">
      <c r="B161" s="2" t="s">
        <v>609</v>
      </c>
    </row>
    <row r="162" spans="1:2" ht="15" customHeight="1" x14ac:dyDescent="0.25">
      <c r="B162" s="2" t="s">
        <v>610</v>
      </c>
    </row>
    <row r="163" spans="1:2" ht="15" customHeight="1" x14ac:dyDescent="0.25">
      <c r="B163" s="2"/>
    </row>
    <row r="164" spans="1:2" ht="15" customHeight="1" x14ac:dyDescent="0.25">
      <c r="A164" t="s">
        <v>1268</v>
      </c>
      <c r="B164" s="2"/>
    </row>
    <row r="165" spans="1:2" ht="15" customHeight="1" x14ac:dyDescent="0.25">
      <c r="B165" s="2"/>
    </row>
    <row r="166" spans="1:2" ht="15" customHeight="1" x14ac:dyDescent="0.25">
      <c r="B166" s="2" t="s">
        <v>1269</v>
      </c>
    </row>
    <row r="167" spans="1:2" ht="15" customHeight="1" x14ac:dyDescent="0.25">
      <c r="B167" s="2"/>
    </row>
    <row r="168" spans="1:2" ht="15" customHeight="1" x14ac:dyDescent="0.25">
      <c r="A168" t="s">
        <v>614</v>
      </c>
      <c r="B168" s="2"/>
    </row>
    <row r="169" spans="1:2" ht="15" customHeight="1" x14ac:dyDescent="0.25">
      <c r="B169" s="2" t="s">
        <v>612</v>
      </c>
    </row>
    <row r="170" spans="1:2" ht="15" customHeight="1" x14ac:dyDescent="0.25">
      <c r="B170" s="2" t="s">
        <v>613</v>
      </c>
    </row>
    <row r="171" spans="1:2" ht="15" customHeight="1" x14ac:dyDescent="0.25">
      <c r="B171" s="2"/>
    </row>
    <row r="172" spans="1:2" ht="15" customHeight="1" x14ac:dyDescent="0.25">
      <c r="A172" t="s">
        <v>615</v>
      </c>
      <c r="B172" s="2"/>
    </row>
    <row r="173" spans="1:2" ht="15" customHeight="1" x14ac:dyDescent="0.25">
      <c r="B173" s="2" t="s">
        <v>616</v>
      </c>
    </row>
    <row r="174" spans="1:2" ht="15" customHeight="1" x14ac:dyDescent="0.25">
      <c r="B174" s="2"/>
    </row>
    <row r="175" spans="1:2" ht="15" customHeight="1" x14ac:dyDescent="0.25">
      <c r="A175" t="s">
        <v>618</v>
      </c>
      <c r="B175" s="2"/>
    </row>
    <row r="176" spans="1:2" ht="15" customHeight="1" x14ac:dyDescent="0.25">
      <c r="B176" s="2" t="s">
        <v>617</v>
      </c>
    </row>
    <row r="177" spans="1:2" ht="15" customHeight="1" x14ac:dyDescent="0.25">
      <c r="B177" s="2"/>
    </row>
    <row r="178" spans="1:2" ht="15" customHeight="1" x14ac:dyDescent="0.25">
      <c r="A178" t="s">
        <v>619</v>
      </c>
      <c r="B178" s="2"/>
    </row>
    <row r="179" spans="1:2" ht="15" customHeight="1" x14ac:dyDescent="0.25">
      <c r="B179" s="2" t="s">
        <v>620</v>
      </c>
    </row>
    <row r="180" spans="1:2" ht="15" customHeight="1" x14ac:dyDescent="0.25">
      <c r="B180" s="2" t="s">
        <v>621</v>
      </c>
    </row>
    <row r="181" spans="1:2" ht="15" customHeight="1" x14ac:dyDescent="0.25">
      <c r="B181" s="2" t="s">
        <v>506</v>
      </c>
    </row>
    <row r="182" spans="1:2" ht="15" customHeight="1" x14ac:dyDescent="0.25">
      <c r="B182" s="2" t="s">
        <v>507</v>
      </c>
    </row>
    <row r="183" spans="1:2" ht="15" customHeight="1" x14ac:dyDescent="0.25">
      <c r="B183" s="2" t="s">
        <v>1311</v>
      </c>
    </row>
    <row r="184" spans="1:2" ht="15" customHeight="1" x14ac:dyDescent="0.25">
      <c r="B184" s="2" t="s">
        <v>1385</v>
      </c>
    </row>
    <row r="185" spans="1:2" ht="15" customHeight="1" x14ac:dyDescent="0.25">
      <c r="B185" s="2"/>
    </row>
    <row r="186" spans="1:2" ht="15" customHeight="1" x14ac:dyDescent="0.25">
      <c r="A186" t="s">
        <v>486</v>
      </c>
      <c r="B186" s="2"/>
    </row>
    <row r="187" spans="1:2" ht="15" customHeight="1" x14ac:dyDescent="0.25">
      <c r="B187" s="2" t="s">
        <v>622</v>
      </c>
    </row>
    <row r="188" spans="1:2" ht="15" customHeight="1" x14ac:dyDescent="0.25">
      <c r="B188" s="2" t="s">
        <v>1273</v>
      </c>
    </row>
    <row r="189" spans="1:2" ht="15" customHeight="1" x14ac:dyDescent="0.25">
      <c r="B189" s="2" t="s">
        <v>1272</v>
      </c>
    </row>
    <row r="190" spans="1:2" ht="15" customHeight="1" x14ac:dyDescent="0.25">
      <c r="B190" s="2"/>
    </row>
    <row r="191" spans="1:2" ht="15" customHeight="1" x14ac:dyDescent="0.25">
      <c r="A191" t="s">
        <v>112</v>
      </c>
      <c r="B191" s="2"/>
    </row>
    <row r="192" spans="1:2" ht="15" customHeight="1" x14ac:dyDescent="0.25">
      <c r="B192" s="2" t="s">
        <v>623</v>
      </c>
    </row>
    <row r="193" spans="1:2" ht="15" customHeight="1" x14ac:dyDescent="0.25">
      <c r="B193" s="202" t="s">
        <v>626</v>
      </c>
    </row>
    <row r="194" spans="1:2" ht="15" customHeight="1" x14ac:dyDescent="0.25">
      <c r="B194" s="202" t="s">
        <v>624</v>
      </c>
    </row>
    <row r="195" spans="1:2" ht="15" customHeight="1" x14ac:dyDescent="0.25">
      <c r="B195" s="2" t="s">
        <v>625</v>
      </c>
    </row>
    <row r="196" spans="1:2" ht="15" customHeight="1" x14ac:dyDescent="0.25">
      <c r="B196" s="2" t="s">
        <v>627</v>
      </c>
    </row>
    <row r="197" spans="1:2" ht="15" customHeight="1" x14ac:dyDescent="0.25">
      <c r="B197" s="2" t="s">
        <v>628</v>
      </c>
    </row>
    <row r="198" spans="1:2" ht="15" customHeight="1" x14ac:dyDescent="0.25">
      <c r="B198" s="2"/>
    </row>
    <row r="199" spans="1:2" ht="15" customHeight="1" x14ac:dyDescent="0.25">
      <c r="A199" t="s">
        <v>697</v>
      </c>
      <c r="B199" s="2"/>
    </row>
    <row r="200" spans="1:2" ht="15" customHeight="1" x14ac:dyDescent="0.25">
      <c r="B200" s="2" t="s">
        <v>1274</v>
      </c>
    </row>
    <row r="201" spans="1:2" ht="15" customHeight="1" x14ac:dyDescent="0.25">
      <c r="B201" s="2" t="s">
        <v>1331</v>
      </c>
    </row>
    <row r="202" spans="1:2" ht="15" customHeight="1" x14ac:dyDescent="0.25">
      <c r="B202" s="2"/>
    </row>
    <row r="203" spans="1:2" ht="15" customHeight="1" x14ac:dyDescent="0.25">
      <c r="A203" s="1" t="s">
        <v>629</v>
      </c>
      <c r="B203" s="2"/>
    </row>
    <row r="204" spans="1:2" ht="15" customHeight="1" x14ac:dyDescent="0.25">
      <c r="B204" s="2"/>
    </row>
    <row r="205" spans="1:2" ht="15" customHeight="1" x14ac:dyDescent="0.25">
      <c r="A205" t="s">
        <v>249</v>
      </c>
    </row>
    <row r="206" spans="1:2" ht="15" customHeight="1" x14ac:dyDescent="0.25">
      <c r="B206" s="2" t="s">
        <v>632</v>
      </c>
    </row>
    <row r="207" spans="1:2" ht="15" customHeight="1" x14ac:dyDescent="0.25">
      <c r="B207" s="2" t="s">
        <v>633</v>
      </c>
    </row>
    <row r="208" spans="1:2" ht="15" customHeight="1" x14ac:dyDescent="0.25">
      <c r="B208" s="2" t="s">
        <v>1355</v>
      </c>
    </row>
    <row r="209" spans="1:2" ht="15" customHeight="1" x14ac:dyDescent="0.25">
      <c r="B209" s="2"/>
    </row>
    <row r="210" spans="1:2" ht="15" customHeight="1" x14ac:dyDescent="0.25">
      <c r="A210" t="s">
        <v>634</v>
      </c>
      <c r="B210" s="2"/>
    </row>
    <row r="211" spans="1:2" ht="15" customHeight="1" x14ac:dyDescent="0.25">
      <c r="B211" s="2" t="s">
        <v>635</v>
      </c>
    </row>
    <row r="212" spans="1:2" ht="15" customHeight="1" x14ac:dyDescent="0.25">
      <c r="B212" s="2" t="s">
        <v>636</v>
      </c>
    </row>
    <row r="213" spans="1:2" ht="15" customHeight="1" x14ac:dyDescent="0.25">
      <c r="B213" s="2" t="s">
        <v>1049</v>
      </c>
    </row>
    <row r="214" spans="1:2" ht="15" customHeight="1" x14ac:dyDescent="0.25">
      <c r="B214" s="2"/>
    </row>
    <row r="215" spans="1:2" ht="15" customHeight="1" x14ac:dyDescent="0.25">
      <c r="A215" t="s">
        <v>637</v>
      </c>
      <c r="B215" s="2"/>
    </row>
    <row r="216" spans="1:2" ht="15" customHeight="1" x14ac:dyDescent="0.25">
      <c r="B216" s="2" t="s">
        <v>638</v>
      </c>
    </row>
    <row r="217" spans="1:2" ht="15" customHeight="1" x14ac:dyDescent="0.25">
      <c r="B217" s="2"/>
    </row>
    <row r="218" spans="1:2" ht="15" customHeight="1" x14ac:dyDescent="0.25">
      <c r="A218" t="s">
        <v>251</v>
      </c>
      <c r="B218" s="2"/>
    </row>
    <row r="219" spans="1:2" ht="15" customHeight="1" x14ac:dyDescent="0.25">
      <c r="B219" s="2" t="s">
        <v>640</v>
      </c>
    </row>
    <row r="220" spans="1:2" ht="15" customHeight="1" x14ac:dyDescent="0.25">
      <c r="B220" s="2" t="s">
        <v>641</v>
      </c>
    </row>
    <row r="221" spans="1:2" ht="15" customHeight="1" x14ac:dyDescent="0.25">
      <c r="B221" s="2" t="s">
        <v>642</v>
      </c>
    </row>
    <row r="222" spans="1:2" ht="15" customHeight="1" x14ac:dyDescent="0.25">
      <c r="B222" s="2" t="s">
        <v>639</v>
      </c>
    </row>
    <row r="223" spans="1:2" ht="15" customHeight="1" x14ac:dyDescent="0.25">
      <c r="B223" s="2"/>
    </row>
    <row r="224" spans="1:2" ht="15" customHeight="1" x14ac:dyDescent="0.25">
      <c r="A224" t="s">
        <v>1027</v>
      </c>
      <c r="B224" s="2"/>
    </row>
    <row r="225" spans="1:2" ht="15" customHeight="1" x14ac:dyDescent="0.25">
      <c r="B225" s="2" t="s">
        <v>1028</v>
      </c>
    </row>
    <row r="226" spans="1:2" ht="15" customHeight="1" x14ac:dyDescent="0.25">
      <c r="B226" s="2" t="s">
        <v>1029</v>
      </c>
    </row>
    <row r="227" spans="1:2" ht="15" customHeight="1" x14ac:dyDescent="0.25">
      <c r="B227" s="2" t="s">
        <v>1035</v>
      </c>
    </row>
    <row r="228" spans="1:2" ht="15" customHeight="1" x14ac:dyDescent="0.25">
      <c r="B228" s="2"/>
    </row>
    <row r="229" spans="1:2" ht="15" customHeight="1" x14ac:dyDescent="0.25">
      <c r="A229" t="s">
        <v>1038</v>
      </c>
      <c r="B229" s="2"/>
    </row>
    <row r="230" spans="1:2" ht="15" customHeight="1" x14ac:dyDescent="0.25">
      <c r="B230" s="2" t="s">
        <v>1040</v>
      </c>
    </row>
    <row r="231" spans="1:2" ht="15" customHeight="1" x14ac:dyDescent="0.25">
      <c r="B231" s="2" t="s">
        <v>1041</v>
      </c>
    </row>
    <row r="232" spans="1:2" ht="15" customHeight="1" x14ac:dyDescent="0.25">
      <c r="B232" s="2" t="s">
        <v>1042</v>
      </c>
    </row>
    <row r="233" spans="1:2" ht="15" customHeight="1" x14ac:dyDescent="0.25">
      <c r="B233" s="2" t="s">
        <v>1109</v>
      </c>
    </row>
    <row r="234" spans="1:2" ht="15" customHeight="1" x14ac:dyDescent="0.25">
      <c r="B234" s="2"/>
    </row>
    <row r="235" spans="1:2" ht="15" customHeight="1" x14ac:dyDescent="0.25">
      <c r="A235" t="s">
        <v>531</v>
      </c>
      <c r="B235" s="2"/>
    </row>
    <row r="236" spans="1:2" ht="15" customHeight="1" x14ac:dyDescent="0.25">
      <c r="B236" s="2" t="s">
        <v>1164</v>
      </c>
    </row>
    <row r="237" spans="1:2" ht="15" customHeight="1" x14ac:dyDescent="0.25">
      <c r="B237" s="2" t="s">
        <v>643</v>
      </c>
    </row>
    <row r="239" spans="1:2" ht="15" customHeight="1" x14ac:dyDescent="0.25">
      <c r="A239" t="s">
        <v>437</v>
      </c>
    </row>
    <row r="240" spans="1:2" ht="15" customHeight="1" x14ac:dyDescent="0.25">
      <c r="B240" s="2" t="s">
        <v>644</v>
      </c>
    </row>
    <row r="242" spans="1:2" ht="15" customHeight="1" x14ac:dyDescent="0.25">
      <c r="A242" t="s">
        <v>458</v>
      </c>
    </row>
    <row r="243" spans="1:2" ht="15" customHeight="1" x14ac:dyDescent="0.25">
      <c r="B243" s="2" t="s">
        <v>1165</v>
      </c>
    </row>
    <row r="244" spans="1:2" ht="15" customHeight="1" x14ac:dyDescent="0.25">
      <c r="B244" s="2" t="s">
        <v>645</v>
      </c>
    </row>
    <row r="245" spans="1:2" ht="15" customHeight="1" x14ac:dyDescent="0.25">
      <c r="B245" s="2" t="s">
        <v>1036</v>
      </c>
    </row>
    <row r="246" spans="1:2" ht="15" customHeight="1" x14ac:dyDescent="0.25">
      <c r="B246" s="2" t="s">
        <v>1393</v>
      </c>
    </row>
    <row r="247" spans="1:2" ht="15" customHeight="1" x14ac:dyDescent="0.25">
      <c r="B247" s="2"/>
    </row>
    <row r="248" spans="1:2" ht="15" customHeight="1" x14ac:dyDescent="0.25">
      <c r="A248" t="s">
        <v>756</v>
      </c>
      <c r="B248" s="2"/>
    </row>
    <row r="249" spans="1:2" ht="15" customHeight="1" x14ac:dyDescent="0.25">
      <c r="B249" s="2" t="s">
        <v>760</v>
      </c>
    </row>
    <row r="250" spans="1:2" ht="15" customHeight="1" x14ac:dyDescent="0.25">
      <c r="B250" s="2" t="s">
        <v>1275</v>
      </c>
    </row>
    <row r="251" spans="1:2" ht="15" customHeight="1" x14ac:dyDescent="0.25">
      <c r="B251" s="2" t="s">
        <v>1276</v>
      </c>
    </row>
    <row r="252" spans="1:2" ht="15" customHeight="1" x14ac:dyDescent="0.25">
      <c r="B252" s="2"/>
    </row>
    <row r="253" spans="1:2" ht="15" customHeight="1" x14ac:dyDescent="0.25">
      <c r="A253" t="s">
        <v>1043</v>
      </c>
      <c r="B253" s="2"/>
    </row>
    <row r="254" spans="1:2" ht="15" customHeight="1" x14ac:dyDescent="0.25">
      <c r="B254" s="2" t="s">
        <v>1045</v>
      </c>
    </row>
    <row r="255" spans="1:2" ht="15" customHeight="1" x14ac:dyDescent="0.25">
      <c r="B255" s="2" t="s">
        <v>1050</v>
      </c>
    </row>
    <row r="256" spans="1:2" ht="15" customHeight="1" x14ac:dyDescent="0.25">
      <c r="B256" s="2" t="s">
        <v>1046</v>
      </c>
    </row>
    <row r="257" spans="1:2" ht="15" customHeight="1" x14ac:dyDescent="0.25">
      <c r="B257" s="2" t="s">
        <v>1047</v>
      </c>
    </row>
    <row r="258" spans="1:2" ht="15" customHeight="1" x14ac:dyDescent="0.25">
      <c r="B258" s="2"/>
    </row>
    <row r="259" spans="1:2" ht="15" customHeight="1" x14ac:dyDescent="0.25">
      <c r="A259" s="1" t="s">
        <v>630</v>
      </c>
      <c r="B259" s="2"/>
    </row>
    <row r="260" spans="1:2" ht="15" customHeight="1" x14ac:dyDescent="0.25">
      <c r="A260" s="1"/>
      <c r="B260" s="2"/>
    </row>
    <row r="261" spans="1:2" ht="15" customHeight="1" x14ac:dyDescent="0.25">
      <c r="A261" s="24" t="s">
        <v>1022</v>
      </c>
      <c r="B261" s="2"/>
    </row>
    <row r="262" spans="1:2" ht="15" customHeight="1" x14ac:dyDescent="0.25">
      <c r="A262" s="1"/>
      <c r="B262" s="2" t="s">
        <v>1024</v>
      </c>
    </row>
    <row r="263" spans="1:2" ht="15" customHeight="1" x14ac:dyDescent="0.25">
      <c r="A263" s="1"/>
      <c r="B263" s="2"/>
    </row>
    <row r="264" spans="1:2" ht="15" customHeight="1" x14ac:dyDescent="0.25">
      <c r="A264" s="24" t="s">
        <v>1023</v>
      </c>
      <c r="B264" s="2"/>
    </row>
    <row r="265" spans="1:2" ht="15" customHeight="1" x14ac:dyDescent="0.25">
      <c r="A265" s="24"/>
      <c r="B265" s="2" t="s">
        <v>1281</v>
      </c>
    </row>
    <row r="266" spans="1:2" ht="15" customHeight="1" x14ac:dyDescent="0.25">
      <c r="A266" s="1"/>
      <c r="B266" s="2" t="s">
        <v>1025</v>
      </c>
    </row>
    <row r="267" spans="1:2" ht="15" customHeight="1" x14ac:dyDescent="0.25">
      <c r="A267" s="1"/>
      <c r="B267" s="2" t="s">
        <v>1026</v>
      </c>
    </row>
    <row r="268" spans="1:2" ht="15" customHeight="1" x14ac:dyDescent="0.25">
      <c r="A268" s="1"/>
      <c r="B268" s="2" t="s">
        <v>1327</v>
      </c>
    </row>
    <row r="269" spans="1:2" ht="15" customHeight="1" x14ac:dyDescent="0.25">
      <c r="A269" s="1"/>
      <c r="B269" s="2"/>
    </row>
    <row r="270" spans="1:2" ht="15" customHeight="1" x14ac:dyDescent="0.25">
      <c r="A270" s="24" t="s">
        <v>1003</v>
      </c>
      <c r="B270" s="2"/>
    </row>
    <row r="271" spans="1:2" ht="15" customHeight="1" x14ac:dyDescent="0.25">
      <c r="A271" s="1"/>
      <c r="B271" s="2" t="s">
        <v>1004</v>
      </c>
    </row>
    <row r="272" spans="1:2" ht="15" customHeight="1" x14ac:dyDescent="0.25">
      <c r="B272" s="2"/>
    </row>
    <row r="273" spans="1:2" ht="15" customHeight="1" x14ac:dyDescent="0.25">
      <c r="A273" t="s">
        <v>646</v>
      </c>
      <c r="B273" s="2"/>
    </row>
    <row r="274" spans="1:2" ht="15" customHeight="1" x14ac:dyDescent="0.25">
      <c r="B274" s="2" t="s">
        <v>1632</v>
      </c>
    </row>
    <row r="275" spans="1:2" ht="15" customHeight="1" x14ac:dyDescent="0.25">
      <c r="B275" s="2" t="s">
        <v>1633</v>
      </c>
    </row>
    <row r="276" spans="1:2" ht="15" customHeight="1" x14ac:dyDescent="0.25">
      <c r="B276" s="2" t="s">
        <v>647</v>
      </c>
    </row>
    <row r="277" spans="1:2" ht="15" customHeight="1" x14ac:dyDescent="0.25">
      <c r="B277" s="2" t="s">
        <v>1338</v>
      </c>
    </row>
    <row r="278" spans="1:2" ht="15" customHeight="1" x14ac:dyDescent="0.25">
      <c r="B278" s="2" t="s">
        <v>1638</v>
      </c>
    </row>
    <row r="279" spans="1:2" ht="15" customHeight="1" x14ac:dyDescent="0.25">
      <c r="B279" s="2" t="s">
        <v>1622</v>
      </c>
    </row>
    <row r="280" spans="1:2" ht="15" customHeight="1" x14ac:dyDescent="0.25">
      <c r="B280" s="2"/>
    </row>
    <row r="281" spans="1:2" ht="15" customHeight="1" x14ac:dyDescent="0.25">
      <c r="A281" t="s">
        <v>1490</v>
      </c>
      <c r="B281" s="2"/>
    </row>
    <row r="282" spans="1:2" ht="15" customHeight="1" x14ac:dyDescent="0.25">
      <c r="B282" s="2" t="s">
        <v>1426</v>
      </c>
    </row>
    <row r="283" spans="1:2" ht="15" customHeight="1" x14ac:dyDescent="0.25">
      <c r="B283" s="2" t="s">
        <v>1338</v>
      </c>
    </row>
    <row r="284" spans="1:2" ht="15" customHeight="1" x14ac:dyDescent="0.25">
      <c r="B284" s="2" t="s">
        <v>1550</v>
      </c>
    </row>
    <row r="285" spans="1:2" ht="15" customHeight="1" x14ac:dyDescent="0.25">
      <c r="B285" s="2" t="s">
        <v>1003</v>
      </c>
    </row>
    <row r="286" spans="1:2" ht="15" customHeight="1" x14ac:dyDescent="0.25">
      <c r="B286" s="2"/>
    </row>
    <row r="287" spans="1:2" ht="15" customHeight="1" x14ac:dyDescent="0.25">
      <c r="A287" t="s">
        <v>1491</v>
      </c>
      <c r="B287" s="2"/>
    </row>
    <row r="288" spans="1:2" ht="15" customHeight="1" x14ac:dyDescent="0.25">
      <c r="B288" s="2" t="s">
        <v>1630</v>
      </c>
    </row>
    <row r="289" spans="1:2" ht="15" customHeight="1" x14ac:dyDescent="0.25">
      <c r="B289" s="2" t="s">
        <v>1631</v>
      </c>
    </row>
    <row r="290" spans="1:2" ht="15" customHeight="1" x14ac:dyDescent="0.25">
      <c r="B290" s="2" t="s">
        <v>1628</v>
      </c>
    </row>
    <row r="291" spans="1:2" ht="15" customHeight="1" x14ac:dyDescent="0.25">
      <c r="B291" s="2" t="s">
        <v>1629</v>
      </c>
    </row>
    <row r="292" spans="1:2" ht="15" customHeight="1" x14ac:dyDescent="0.25">
      <c r="B292" s="2" t="s">
        <v>531</v>
      </c>
    </row>
    <row r="293" spans="1:2" ht="15" customHeight="1" x14ac:dyDescent="0.25">
      <c r="B293" s="2" t="s">
        <v>1003</v>
      </c>
    </row>
    <row r="294" spans="1:2" ht="15" customHeight="1" x14ac:dyDescent="0.25">
      <c r="B294" s="2"/>
    </row>
    <row r="295" spans="1:2" ht="15" customHeight="1" x14ac:dyDescent="0.25">
      <c r="A295" t="s">
        <v>1549</v>
      </c>
      <c r="B295" s="2"/>
    </row>
    <row r="296" spans="1:2" ht="15" customHeight="1" x14ac:dyDescent="0.25">
      <c r="B296" s="2" t="s">
        <v>646</v>
      </c>
    </row>
    <row r="297" spans="1:2" ht="15" customHeight="1" x14ac:dyDescent="0.25">
      <c r="B297" s="2"/>
    </row>
    <row r="298" spans="1:2" ht="15" customHeight="1" x14ac:dyDescent="0.25">
      <c r="A298" t="s">
        <v>1645</v>
      </c>
      <c r="B298" s="2"/>
    </row>
    <row r="299" spans="1:2" ht="15" customHeight="1" x14ac:dyDescent="0.25">
      <c r="B299" s="2" t="s">
        <v>646</v>
      </c>
    </row>
    <row r="300" spans="1:2" ht="15" customHeight="1" x14ac:dyDescent="0.25">
      <c r="B300" s="2"/>
    </row>
    <row r="301" spans="1:2" ht="15" customHeight="1" x14ac:dyDescent="0.25">
      <c r="A301" s="1" t="s">
        <v>631</v>
      </c>
      <c r="B301" s="2"/>
    </row>
    <row r="303" spans="1:2" ht="15" customHeight="1" x14ac:dyDescent="0.25">
      <c r="A303" t="s">
        <v>648</v>
      </c>
    </row>
    <row r="304" spans="1:2" ht="15" customHeight="1" x14ac:dyDescent="0.25">
      <c r="B304" s="2" t="s">
        <v>649</v>
      </c>
    </row>
    <row r="305" spans="1:2" ht="15" customHeight="1" x14ac:dyDescent="0.25">
      <c r="B305" s="2" t="s">
        <v>1305</v>
      </c>
    </row>
    <row r="307" spans="1:2" ht="15" customHeight="1" x14ac:dyDescent="0.25">
      <c r="A307" t="s">
        <v>656</v>
      </c>
    </row>
    <row r="308" spans="1:2" ht="15" customHeight="1" x14ac:dyDescent="0.25">
      <c r="B308" s="2" t="s">
        <v>650</v>
      </c>
    </row>
    <row r="309" spans="1:2" ht="15" customHeight="1" x14ac:dyDescent="0.25">
      <c r="B309" s="2" t="s">
        <v>651</v>
      </c>
    </row>
    <row r="310" spans="1:2" ht="15" customHeight="1" x14ac:dyDescent="0.25">
      <c r="B310" s="2" t="s">
        <v>652</v>
      </c>
    </row>
    <row r="311" spans="1:2" ht="15" customHeight="1" x14ac:dyDescent="0.25">
      <c r="B311" s="2" t="s">
        <v>653</v>
      </c>
    </row>
    <row r="312" spans="1:2" ht="15" customHeight="1" x14ac:dyDescent="0.25">
      <c r="B312" s="2" t="s">
        <v>1230</v>
      </c>
    </row>
    <row r="313" spans="1:2" ht="15" customHeight="1" x14ac:dyDescent="0.25">
      <c r="B313" s="2" t="s">
        <v>654</v>
      </c>
    </row>
    <row r="314" spans="1:2" ht="15" customHeight="1" x14ac:dyDescent="0.25">
      <c r="B314" s="2" t="s">
        <v>1648</v>
      </c>
    </row>
    <row r="315" spans="1:2" ht="15" customHeight="1" x14ac:dyDescent="0.25">
      <c r="B315" s="2" t="s">
        <v>1646</v>
      </c>
    </row>
    <row r="316" spans="1:2" ht="15" customHeight="1" x14ac:dyDescent="0.25">
      <c r="B316" s="2" t="s">
        <v>1209</v>
      </c>
    </row>
    <row r="317" spans="1:2" ht="15" customHeight="1" x14ac:dyDescent="0.25">
      <c r="B317" s="2" t="s">
        <v>1647</v>
      </c>
    </row>
    <row r="318" spans="1:2" ht="15" customHeight="1" x14ac:dyDescent="0.25">
      <c r="B318" s="2" t="s">
        <v>655</v>
      </c>
    </row>
    <row r="319" spans="1:2" ht="15" customHeight="1" x14ac:dyDescent="0.25">
      <c r="B319" s="2" t="s">
        <v>894</v>
      </c>
    </row>
    <row r="320" spans="1:2" ht="15" customHeight="1" x14ac:dyDescent="0.25">
      <c r="B320" s="2" t="s">
        <v>895</v>
      </c>
    </row>
    <row r="321" spans="1:2" ht="15" customHeight="1" x14ac:dyDescent="0.25">
      <c r="B321" s="2" t="s">
        <v>896</v>
      </c>
    </row>
    <row r="322" spans="1:2" ht="15" customHeight="1" x14ac:dyDescent="0.25">
      <c r="B322" s="2" t="s">
        <v>897</v>
      </c>
    </row>
    <row r="323" spans="1:2" ht="15" customHeight="1" x14ac:dyDescent="0.25">
      <c r="B323" s="2" t="s">
        <v>898</v>
      </c>
    </row>
    <row r="324" spans="1:2" ht="15" customHeight="1" x14ac:dyDescent="0.25">
      <c r="B324" s="2"/>
    </row>
    <row r="325" spans="1:2" ht="15" customHeight="1" x14ac:dyDescent="0.25">
      <c r="A325" t="s">
        <v>660</v>
      </c>
    </row>
    <row r="326" spans="1:2" ht="15" customHeight="1" x14ac:dyDescent="0.25">
      <c r="B326" s="2" t="s">
        <v>657</v>
      </c>
    </row>
    <row r="327" spans="1:2" ht="15" customHeight="1" x14ac:dyDescent="0.25">
      <c r="B327" s="2" t="s">
        <v>658</v>
      </c>
    </row>
    <row r="328" spans="1:2" ht="15" customHeight="1" x14ac:dyDescent="0.25">
      <c r="B328" s="2" t="s">
        <v>659</v>
      </c>
    </row>
    <row r="329" spans="1:2" ht="15" customHeight="1" x14ac:dyDescent="0.25">
      <c r="B329" s="221" t="s">
        <v>1722</v>
      </c>
    </row>
    <row r="330" spans="1:2" ht="15" customHeight="1" x14ac:dyDescent="0.25">
      <c r="B330" s="221" t="s">
        <v>1217</v>
      </c>
    </row>
    <row r="331" spans="1:2" ht="15" customHeight="1" x14ac:dyDescent="0.25">
      <c r="B331" s="221"/>
    </row>
    <row r="332" spans="1:2" ht="15" customHeight="1" x14ac:dyDescent="0.25">
      <c r="A332" t="s">
        <v>661</v>
      </c>
    </row>
    <row r="333" spans="1:2" ht="15" customHeight="1" x14ac:dyDescent="0.25">
      <c r="B333" s="2" t="s">
        <v>662</v>
      </c>
    </row>
    <row r="334" spans="1:2" ht="15" customHeight="1" x14ac:dyDescent="0.25">
      <c r="B334" s="2" t="s">
        <v>663</v>
      </c>
    </row>
    <row r="335" spans="1:2" ht="15" customHeight="1" x14ac:dyDescent="0.25">
      <c r="B335" s="2" t="s">
        <v>664</v>
      </c>
    </row>
    <row r="336" spans="1:2" ht="15" customHeight="1" x14ac:dyDescent="0.25">
      <c r="B336" s="2" t="s">
        <v>665</v>
      </c>
    </row>
    <row r="337" spans="1:2" ht="15" customHeight="1" x14ac:dyDescent="0.25">
      <c r="B337" s="2" t="s">
        <v>1231</v>
      </c>
    </row>
    <row r="338" spans="1:2" ht="15" customHeight="1" x14ac:dyDescent="0.25">
      <c r="B338" s="2"/>
    </row>
    <row r="339" spans="1:2" ht="15" customHeight="1" x14ac:dyDescent="0.25">
      <c r="A339" t="s">
        <v>666</v>
      </c>
      <c r="B339" s="2"/>
    </row>
    <row r="340" spans="1:2" ht="15" customHeight="1" x14ac:dyDescent="0.25">
      <c r="B340" s="2" t="s">
        <v>667</v>
      </c>
    </row>
    <row r="341" spans="1:2" ht="15" customHeight="1" x14ac:dyDescent="0.25">
      <c r="B341" s="2" t="s">
        <v>1232</v>
      </c>
    </row>
    <row r="342" spans="1:2" ht="15" customHeight="1" x14ac:dyDescent="0.25">
      <c r="B342" s="2" t="s">
        <v>668</v>
      </c>
    </row>
    <row r="343" spans="1:2" ht="15" customHeight="1" x14ac:dyDescent="0.25">
      <c r="B343" s="2" t="s">
        <v>1315</v>
      </c>
    </row>
    <row r="344" spans="1:2" ht="15" customHeight="1" x14ac:dyDescent="0.25">
      <c r="B344" s="2" t="s">
        <v>1314</v>
      </c>
    </row>
    <row r="345" spans="1:2" ht="15" customHeight="1" x14ac:dyDescent="0.25">
      <c r="B345" s="2" t="s">
        <v>1313</v>
      </c>
    </row>
    <row r="346" spans="1:2" ht="15" customHeight="1" x14ac:dyDescent="0.25">
      <c r="B346" s="2" t="s">
        <v>1209</v>
      </c>
    </row>
    <row r="347" spans="1:2" ht="15" customHeight="1" x14ac:dyDescent="0.25">
      <c r="B347" s="2"/>
    </row>
    <row r="348" spans="1:2" ht="15" customHeight="1" x14ac:dyDescent="0.25">
      <c r="A348" t="s">
        <v>1668</v>
      </c>
      <c r="B348" s="2"/>
    </row>
    <row r="349" spans="1:2" ht="15" customHeight="1" x14ac:dyDescent="0.25">
      <c r="B349" s="2" t="s">
        <v>1669</v>
      </c>
    </row>
    <row r="350" spans="1:2" ht="15" customHeight="1" x14ac:dyDescent="0.25">
      <c r="B350" s="2" t="s">
        <v>1696</v>
      </c>
    </row>
    <row r="351" spans="1:2" ht="15" customHeight="1" x14ac:dyDescent="0.25">
      <c r="B351" s="2"/>
    </row>
    <row r="352" spans="1:2" ht="15" customHeight="1" x14ac:dyDescent="0.25">
      <c r="A352" t="s">
        <v>944</v>
      </c>
      <c r="B352" s="2"/>
    </row>
    <row r="353" spans="1:2" ht="15" customHeight="1" x14ac:dyDescent="0.25">
      <c r="B353" s="2" t="s">
        <v>945</v>
      </c>
    </row>
    <row r="354" spans="1:2" ht="15" customHeight="1" x14ac:dyDescent="0.25">
      <c r="B354" s="2" t="s">
        <v>947</v>
      </c>
    </row>
    <row r="355" spans="1:2" ht="15" customHeight="1" x14ac:dyDescent="0.25">
      <c r="B355" s="2" t="s">
        <v>946</v>
      </c>
    </row>
    <row r="356" spans="1:2" ht="15" customHeight="1" x14ac:dyDescent="0.25">
      <c r="B356" s="2" t="s">
        <v>1282</v>
      </c>
    </row>
    <row r="357" spans="1:2" ht="15" customHeight="1" x14ac:dyDescent="0.25">
      <c r="B357" s="2" t="s">
        <v>1283</v>
      </c>
    </row>
    <row r="358" spans="1:2" ht="15" customHeight="1" x14ac:dyDescent="0.25">
      <c r="B358" s="2" t="s">
        <v>1284</v>
      </c>
    </row>
    <row r="359" spans="1:2" ht="15" customHeight="1" x14ac:dyDescent="0.25">
      <c r="B359" s="2" t="s">
        <v>1285</v>
      </c>
    </row>
    <row r="360" spans="1:2" ht="15" customHeight="1" x14ac:dyDescent="0.25">
      <c r="B360" s="2" t="s">
        <v>1286</v>
      </c>
    </row>
    <row r="361" spans="1:2" ht="15" customHeight="1" x14ac:dyDescent="0.25">
      <c r="B361" s="2" t="s">
        <v>1729</v>
      </c>
    </row>
    <row r="362" spans="1:2" ht="15" customHeight="1" x14ac:dyDescent="0.25">
      <c r="B362" s="2" t="s">
        <v>1730</v>
      </c>
    </row>
    <row r="363" spans="1:2" ht="15" customHeight="1" x14ac:dyDescent="0.25">
      <c r="B363" s="2" t="s">
        <v>1731</v>
      </c>
    </row>
    <row r="364" spans="1:2" ht="15" customHeight="1" x14ac:dyDescent="0.25">
      <c r="B364" s="2"/>
    </row>
    <row r="365" spans="1:2" ht="15" customHeight="1" x14ac:dyDescent="0.25">
      <c r="A365" t="s">
        <v>1445</v>
      </c>
      <c r="B365" s="2"/>
    </row>
    <row r="366" spans="1:2" ht="15" customHeight="1" x14ac:dyDescent="0.25">
      <c r="B366" s="2" t="s">
        <v>1446</v>
      </c>
    </row>
    <row r="367" spans="1:2" ht="15" customHeight="1" x14ac:dyDescent="0.25">
      <c r="B367" s="2" t="s">
        <v>1447</v>
      </c>
    </row>
    <row r="368" spans="1:2" ht="15" customHeight="1" x14ac:dyDescent="0.25">
      <c r="B368" s="2"/>
    </row>
    <row r="369" spans="1:2" ht="15" customHeight="1" x14ac:dyDescent="0.25">
      <c r="A369" t="s">
        <v>1171</v>
      </c>
      <c r="B369" s="2"/>
    </row>
    <row r="370" spans="1:2" ht="15" customHeight="1" x14ac:dyDescent="0.25">
      <c r="B370" s="2" t="s">
        <v>1172</v>
      </c>
    </row>
    <row r="371" spans="1:2" ht="15" customHeight="1" x14ac:dyDescent="0.25">
      <c r="B371" s="2" t="s">
        <v>1189</v>
      </c>
    </row>
    <row r="372" spans="1:2" ht="15" customHeight="1" x14ac:dyDescent="0.25">
      <c r="B372" s="2"/>
    </row>
    <row r="373" spans="1:2" ht="15" customHeight="1" x14ac:dyDescent="0.25">
      <c r="A373" s="1" t="s">
        <v>1156</v>
      </c>
      <c r="B373" s="2"/>
    </row>
    <row r="375" spans="1:2" ht="15" customHeight="1" x14ac:dyDescent="0.25">
      <c r="A375" t="s">
        <v>252</v>
      </c>
    </row>
    <row r="376" spans="1:2" ht="15" customHeight="1" x14ac:dyDescent="0.25">
      <c r="B376" s="2" t="s">
        <v>669</v>
      </c>
    </row>
    <row r="377" spans="1:2" ht="15" customHeight="1" x14ac:dyDescent="0.25">
      <c r="B377" s="2" t="s">
        <v>1306</v>
      </c>
    </row>
    <row r="379" spans="1:2" ht="15" customHeight="1" x14ac:dyDescent="0.25">
      <c r="A379" t="s">
        <v>1304</v>
      </c>
    </row>
    <row r="380" spans="1:2" ht="15" customHeight="1" x14ac:dyDescent="0.25">
      <c r="B380" s="2" t="s">
        <v>670</v>
      </c>
    </row>
    <row r="381" spans="1:2" ht="15" customHeight="1" x14ac:dyDescent="0.25">
      <c r="B381" s="2" t="s">
        <v>671</v>
      </c>
    </row>
    <row r="382" spans="1:2" ht="15" customHeight="1" x14ac:dyDescent="0.25">
      <c r="B382" s="2" t="s">
        <v>949</v>
      </c>
    </row>
    <row r="383" spans="1:2" ht="15" customHeight="1" x14ac:dyDescent="0.25">
      <c r="B383" s="2" t="s">
        <v>950</v>
      </c>
    </row>
    <row r="385" spans="1:2" ht="15" customHeight="1" x14ac:dyDescent="0.25">
      <c r="A385" t="s">
        <v>672</v>
      </c>
    </row>
    <row r="386" spans="1:2" ht="15" customHeight="1" x14ac:dyDescent="0.25">
      <c r="B386" s="2" t="s">
        <v>673</v>
      </c>
    </row>
    <row r="387" spans="1:2" ht="15" customHeight="1" x14ac:dyDescent="0.25">
      <c r="B387" s="2" t="s">
        <v>674</v>
      </c>
    </row>
    <row r="388" spans="1:2" ht="15" customHeight="1" x14ac:dyDescent="0.25">
      <c r="B388" s="2" t="s">
        <v>675</v>
      </c>
    </row>
    <row r="389" spans="1:2" ht="15" customHeight="1" x14ac:dyDescent="0.25">
      <c r="B389" s="2" t="s">
        <v>676</v>
      </c>
    </row>
    <row r="390" spans="1:2" ht="15" customHeight="1" x14ac:dyDescent="0.25">
      <c r="B390" s="2" t="s">
        <v>1328</v>
      </c>
    </row>
    <row r="392" spans="1:2" ht="15" customHeight="1" x14ac:dyDescent="0.25">
      <c r="A392" t="s">
        <v>677</v>
      </c>
    </row>
    <row r="393" spans="1:2" ht="15" customHeight="1" x14ac:dyDescent="0.25">
      <c r="B393" s="2" t="s">
        <v>678</v>
      </c>
    </row>
    <row r="394" spans="1:2" ht="15" customHeight="1" x14ac:dyDescent="0.25">
      <c r="B394" s="2" t="s">
        <v>679</v>
      </c>
    </row>
    <row r="395" spans="1:2" ht="15" customHeight="1" x14ac:dyDescent="0.25">
      <c r="B395" s="2" t="s">
        <v>1233</v>
      </c>
    </row>
    <row r="396" spans="1:2" ht="15" customHeight="1" x14ac:dyDescent="0.25">
      <c r="B396" s="2" t="s">
        <v>1609</v>
      </c>
    </row>
    <row r="397" spans="1:2" ht="15" customHeight="1" x14ac:dyDescent="0.25">
      <c r="B397" s="2" t="s">
        <v>1608</v>
      </c>
    </row>
    <row r="398" spans="1:2" ht="15" customHeight="1" x14ac:dyDescent="0.25">
      <c r="B398" s="2"/>
    </row>
    <row r="399" spans="1:2" ht="15" customHeight="1" x14ac:dyDescent="0.25">
      <c r="A399" t="s">
        <v>509</v>
      </c>
      <c r="B399" s="2"/>
    </row>
    <row r="400" spans="1:2" ht="15" customHeight="1" x14ac:dyDescent="0.25">
      <c r="B400" s="2" t="s">
        <v>680</v>
      </c>
    </row>
    <row r="401" spans="1:2" ht="15" customHeight="1" x14ac:dyDescent="0.25">
      <c r="B401" s="2" t="s">
        <v>1384</v>
      </c>
    </row>
    <row r="402" spans="1:2" ht="15" customHeight="1" x14ac:dyDescent="0.25">
      <c r="B402" s="2"/>
    </row>
    <row r="403" spans="1:2" ht="15" customHeight="1" x14ac:dyDescent="0.25">
      <c r="A403" t="s">
        <v>681</v>
      </c>
      <c r="B403" s="2"/>
    </row>
    <row r="404" spans="1:2" ht="15" customHeight="1" x14ac:dyDescent="0.25">
      <c r="B404" s="2" t="s">
        <v>682</v>
      </c>
    </row>
    <row r="405" spans="1:2" ht="15" customHeight="1" x14ac:dyDescent="0.25">
      <c r="B405" s="2" t="s">
        <v>683</v>
      </c>
    </row>
    <row r="406" spans="1:2" ht="15" customHeight="1" x14ac:dyDescent="0.25">
      <c r="B406" s="2" t="s">
        <v>509</v>
      </c>
    </row>
    <row r="407" spans="1:2" ht="15" customHeight="1" x14ac:dyDescent="0.25">
      <c r="B407" s="2"/>
    </row>
    <row r="408" spans="1:2" ht="15" customHeight="1" x14ac:dyDescent="0.25">
      <c r="A408" t="s">
        <v>1603</v>
      </c>
      <c r="B408" s="2"/>
    </row>
    <row r="409" spans="1:2" ht="15" customHeight="1" x14ac:dyDescent="0.25">
      <c r="B409" s="2" t="s">
        <v>1601</v>
      </c>
    </row>
    <row r="410" spans="1:2" ht="15" customHeight="1" x14ac:dyDescent="0.25">
      <c r="B410" s="2" t="s">
        <v>1600</v>
      </c>
    </row>
    <row r="411" spans="1:2" ht="15" customHeight="1" x14ac:dyDescent="0.25">
      <c r="B411" s="2" t="s">
        <v>1602</v>
      </c>
    </row>
    <row r="412" spans="1:2" ht="15" customHeight="1" x14ac:dyDescent="0.25">
      <c r="B412" s="2" t="s">
        <v>1604</v>
      </c>
    </row>
    <row r="413" spans="1:2" ht="15" customHeight="1" x14ac:dyDescent="0.25">
      <c r="B413" s="2"/>
    </row>
    <row r="414" spans="1:2" ht="15" customHeight="1" x14ac:dyDescent="0.25">
      <c r="A414" t="s">
        <v>953</v>
      </c>
      <c r="B414" s="2"/>
    </row>
    <row r="415" spans="1:2" ht="15" customHeight="1" x14ac:dyDescent="0.25">
      <c r="B415" s="2" t="s">
        <v>954</v>
      </c>
    </row>
    <row r="416" spans="1:2" ht="15" customHeight="1" x14ac:dyDescent="0.25">
      <c r="B416" s="2" t="s">
        <v>1212</v>
      </c>
    </row>
    <row r="417" spans="1:2" ht="15" customHeight="1" x14ac:dyDescent="0.25">
      <c r="B417" s="2" t="s">
        <v>951</v>
      </c>
    </row>
    <row r="418" spans="1:2" ht="15" customHeight="1" x14ac:dyDescent="0.25">
      <c r="B418" s="2" t="s">
        <v>952</v>
      </c>
    </row>
    <row r="419" spans="1:2" ht="15" customHeight="1" x14ac:dyDescent="0.25">
      <c r="B419" s="2" t="s">
        <v>1227</v>
      </c>
    </row>
    <row r="420" spans="1:2" ht="15" customHeight="1" x14ac:dyDescent="0.25">
      <c r="B420" s="2"/>
    </row>
    <row r="421" spans="1:2" ht="15" customHeight="1" x14ac:dyDescent="0.25">
      <c r="A421" s="1" t="s">
        <v>1157</v>
      </c>
      <c r="B421" s="2"/>
    </row>
    <row r="422" spans="1:2" ht="15" customHeight="1" x14ac:dyDescent="0.25">
      <c r="A422" s="1"/>
      <c r="B422" s="2"/>
    </row>
    <row r="423" spans="1:2" ht="15" customHeight="1" x14ac:dyDescent="0.25">
      <c r="A423" t="s">
        <v>1287</v>
      </c>
    </row>
    <row r="424" spans="1:2" ht="15" customHeight="1" x14ac:dyDescent="0.25">
      <c r="B424" s="2" t="s">
        <v>1288</v>
      </c>
    </row>
    <row r="425" spans="1:2" ht="15" customHeight="1" x14ac:dyDescent="0.25">
      <c r="A425" s="1"/>
      <c r="B425" s="2"/>
    </row>
    <row r="426" spans="1:2" ht="15" customHeight="1" x14ac:dyDescent="0.25">
      <c r="A426" t="s">
        <v>684</v>
      </c>
      <c r="B426" s="2"/>
    </row>
    <row r="427" spans="1:2" ht="15" customHeight="1" x14ac:dyDescent="0.25">
      <c r="B427" s="2" t="s">
        <v>685</v>
      </c>
    </row>
    <row r="428" spans="1:2" ht="15" customHeight="1" x14ac:dyDescent="0.25">
      <c r="B428" s="2" t="s">
        <v>686</v>
      </c>
    </row>
    <row r="429" spans="1:2" ht="15" customHeight="1" x14ac:dyDescent="0.25">
      <c r="B429" s="2" t="s">
        <v>613</v>
      </c>
    </row>
    <row r="430" spans="1:2" ht="15" customHeight="1" x14ac:dyDescent="0.25">
      <c r="B430" s="2" t="s">
        <v>1659</v>
      </c>
    </row>
    <row r="431" spans="1:2" ht="15" customHeight="1" x14ac:dyDescent="0.25">
      <c r="B431" s="2" t="s">
        <v>1660</v>
      </c>
    </row>
    <row r="432" spans="1:2" ht="15" customHeight="1" x14ac:dyDescent="0.25">
      <c r="B432" s="2" t="s">
        <v>1661</v>
      </c>
    </row>
    <row r="433" spans="1:2" ht="15" customHeight="1" x14ac:dyDescent="0.25">
      <c r="B433" s="2" t="s">
        <v>1301</v>
      </c>
    </row>
    <row r="434" spans="1:2" ht="15" customHeight="1" x14ac:dyDescent="0.25">
      <c r="B434" s="2"/>
    </row>
    <row r="435" spans="1:2" ht="15" customHeight="1" x14ac:dyDescent="0.25">
      <c r="A435" t="s">
        <v>1570</v>
      </c>
      <c r="B435" s="2"/>
    </row>
    <row r="436" spans="1:2" ht="15" customHeight="1" x14ac:dyDescent="0.25">
      <c r="B436" s="2" t="s">
        <v>955</v>
      </c>
    </row>
    <row r="437" spans="1:2" ht="15" customHeight="1" x14ac:dyDescent="0.25">
      <c r="B437" s="2" t="s">
        <v>1298</v>
      </c>
    </row>
    <row r="438" spans="1:2" ht="15" customHeight="1" x14ac:dyDescent="0.25">
      <c r="B438" s="2"/>
    </row>
    <row r="463" s="24" customFormat="1" ht="15" customHeight="1" x14ac:dyDescent="0.25"/>
  </sheetData>
  <hyperlinks>
    <hyperlink ref="B304" location="'T Dist'!A1" display="Chart of t distribution (Figure 11.2)"/>
    <hyperlink ref="B308" location="'1 Sample T 1'!A1" display="One sample t test (Example 11.1)"/>
    <hyperlink ref="B310" location="'1 Sample T 2'!A1" display="One sample t test (Example 11.2)"/>
    <hyperlink ref="B326" location="'2 Sample T 1'!A1" display="Two independent sample t test, equal variance (Example 11.3)"/>
    <hyperlink ref="B11" location="'Bar Chart'!A1" display="Sample Excel worksheet (Figure 2.1)"/>
    <hyperlink ref="B14" location="'Bar Chart'!A1" display="Bar Chart (Example 2.1)"/>
    <hyperlink ref="B15" location="'Line Chart'!A1" display="Line Chart (Example 2.2)"/>
    <hyperlink ref="B21" location="'Array Formula'!A1" display="Array formula (Example 2.3)"/>
    <hyperlink ref="B22" location="'Array Function'!A1" display="Array function (Example 2.4)"/>
    <hyperlink ref="B59" location="'Prob 1'!A1" display="Frequency function (Example 3.6)"/>
    <hyperlink ref="B60" location="'Prob 2'!A1" display="Frequency function (Example 3.7)"/>
    <hyperlink ref="B77" location="Combined!A1" display="Combined sample (Example 4.2)"/>
    <hyperlink ref="B82" location="'Chi-Sq'!A1" display="Chi-square distribution (Figure 4.5)"/>
    <hyperlink ref="B83" location="'Chi-Sq'!H33" display="Kurtosis and skewness (Figure 4.6)"/>
    <hyperlink ref="B88" location="'Rank 1'!A1" display="Rank and Percentile data analysis tool (Example 5)"/>
    <hyperlink ref="B93" location="'Desc 1'!A1" display="Descriptive Statistics data analysis tool (Example 4.2)"/>
    <hyperlink ref="B94" location="'Desc 2'!A1" display="Descriptive Statistics data analysis tool (Example 4.3)"/>
    <hyperlink ref="B95" location="'Desc 2'!I3" display="Real Statistics Descriptive Statistics data analysis tool (Example 3)"/>
    <hyperlink ref="B98" location="Freq!A1" display="Mean and variance based on frequency tables (Example 1)"/>
    <hyperlink ref="B99" location="Freq!C17" display="Frequency function (Example 1)"/>
    <hyperlink ref="B100" location="Freq!N3" display="Calculations from a frequency table with intervals (Example 4.5)"/>
    <hyperlink ref="B101" location="Histogram!A1" display="Excel FREQUENCY function (Example 4.6)"/>
    <hyperlink ref="B107" location="Histogram!A16" display="Histogram data analysis tool (Figure 4.18)"/>
    <hyperlink ref="B72" location="'Geo Mean'!A1" display="Geometric Mean (Figure 4.1)"/>
    <hyperlink ref="B111" location="'Box Plot 1'!A1" display="Box Plot (Example 4.7)"/>
    <hyperlink ref="B142" location="Power!A1" display="Power table (Figure 5.4)"/>
    <hyperlink ref="B147" location="'Normal 1'!A1" display="Normal distribution (Example 7.1)"/>
    <hyperlink ref="B152" location="'Normal 1'!A106" display="Standard normal distribution (Figure 7.4)"/>
    <hyperlink ref="B216" location="'Binomial 3'!A1" display="Binomial vs. normal distribution (Example 9.4)"/>
    <hyperlink ref="B206" location="'Binomial 1'!A1" display="Chart of binomial distribution (Figure 9.1)"/>
    <hyperlink ref="B327" location="'2 Sample T 1'!O18" display="Two independent sample t test, data analysis tool (Figure 11.18)"/>
    <hyperlink ref="B376" location="'Chi-Sq'!A1" display="Chart of chi-square distribution (Figure 12.1)"/>
    <hyperlink ref="B380" location="'1 Sample Var'!A1" display="One sample testing of variance (Example 12.2)"/>
    <hyperlink ref="B393" location="'Chi-Sq 1'!A1" display="Chi-square independence testing (Example 12.9)"/>
    <hyperlink ref="B394" location="'Chi-Sq 2'!A1" display="Chi-square independence testing (Example 12.10)"/>
    <hyperlink ref="B387" location="'Good Fit 1'!A1" display="Chi-square goodness of fit (Example 12.6)"/>
    <hyperlink ref="B388" location="'Good Fit 2'!A1" display="Chi-square goodness of fit (Example 12.7)"/>
    <hyperlink ref="B389" location="'Good Fit 3'!A1" display="Chi-square goodness of fit (Example 12.8)"/>
    <hyperlink ref="B381" location="'1 Sample Var'!A16" display="One sample testing of variance (Example 12.3)"/>
    <hyperlink ref="B207" location="'Binomial 2'!A3" display="Binomial distribution (Example 1)"/>
    <hyperlink ref="B148" location="'Normal 1'!A135" display="Extra picture (two normal distributions)"/>
    <hyperlink ref="B240" location="Multinom!A1" display="Multinomial distribution (Example 9.10)"/>
    <hyperlink ref="B244" location="'Poisson 1'!A1" display="Poisson distribution (Example 9.11)"/>
    <hyperlink ref="B245" location="'Poisson 2'!A1" display="Poisson distribution (Example 9.12)"/>
    <hyperlink ref="B161" location="'1 Sample Z 1'!A1" display="One sample hypothesis testing with known variance (Example 8.2)"/>
    <hyperlink ref="B162" location="'1 Sample Z 1'!H1" display="One sample hypothesis testing with known variance (Example 8.3)"/>
    <hyperlink ref="B169" location="'1 Sample Z 1'!A21" display="Confidence interval (Example 8.4)"/>
    <hyperlink ref="B170" location="'1 Sample Z 1'!H21" display="Confidence interval (Example 8.5)"/>
    <hyperlink ref="B173" location="'1 Sample Z 2'!A1" display="One sample hypothesis test via Central Limit Theorem (Example 8.7)"/>
    <hyperlink ref="B176" location="'2 Sample Z'!A1" display="Two sample hypothesis testing with known variance (Example 8.8)"/>
    <hyperlink ref="B179" location="'Simulation 1'!A1" display="Simulation of Central Limit Theorem (Example 8.9)"/>
    <hyperlink ref="B180" location="'Uniform Sample'!A1" display="Sample data for Example 8.9"/>
    <hyperlink ref="B181" location="'Simulation 1'!A20" display="Simulation of Central Limit Theorem (extra example)"/>
    <hyperlink ref="B182" location="'Poisson Sample'!A1" display="Sample data for extra example"/>
    <hyperlink ref="B183" location="'Simulation 2'!A1" display="Normal distribution sample (Figure 8.5)"/>
    <hyperlink ref="B187" location="'Sampling 1'!A1" display="Sampling (Example 8.10)"/>
    <hyperlink ref="B188" location="'Sampling 1'!A1" display="Sampling using Real Statistics functions (Example 2)"/>
    <hyperlink ref="B189" location="'Sampling 1'!R1" display="Sampling using Real Statistics data analysis tool (Example 2)"/>
    <hyperlink ref="B193" location="'Norm Power 1'!A15" display="Power curve for Example 8.12 (Figure 8.9)"/>
    <hyperlink ref="B192" location="'Norm Power 1'!A1" display="Power for normal distribution (Example 8.12)"/>
    <hyperlink ref="B195" location="'Norm Power 1'!N17" display="What if analysis regarding power for normal distribution (Example 8.13)"/>
    <hyperlink ref="B194" location="'Norm Power 2'!A1" display="What if analysis regarding power for normal distribution (Example 8.13)"/>
    <hyperlink ref="B149" location="'Normal 2'!A1" display="Probability using normal distribution (Example 7.2)"/>
    <hyperlink ref="B166" location="'1 Sample Z 1'!A32" display="Cohen's d effect size (Example 8.4)"/>
    <hyperlink ref="B211" location="'Binomial 2'!D3" display="Hypothesis testing binomial distribution (Example 1)"/>
    <hyperlink ref="B212" location="'Binomial 2'!G3" display="Hypothesis testing binomial distribution (Example 2)"/>
    <hyperlink ref="B276" location="Weibull!A1" display="Weibull distribution (Example 10.1)"/>
    <hyperlink ref="B313" location="'1 Sample T 2'!P59" display="Confidence interval for t distribution (Example 11.3)"/>
    <hyperlink ref="B309" location="'1 Sample T 1'!H33" display="Test for symmetry with box plot (Figure 11.4)"/>
    <hyperlink ref="B311" location="'1 Sample T 2'!F3" display="Test for symmetry with histogram and descriptive stats (Figure 11.6)"/>
    <hyperlink ref="B312" location="'1 Sample T 2'!P47" display="Supplemental one sample t test data analysis tool (Figure 11.7)"/>
    <hyperlink ref="B315" location="'1 Sample T 2'!V51" display="Cohen's effect size (Figure 11.7)"/>
    <hyperlink ref="B219" location="Prop!A1" display="Proportional distribution (Example 9.5)"/>
    <hyperlink ref="B220" location="Prop!D3" display="Proportional distribution - confidence interval (Example 9.6)"/>
    <hyperlink ref="B221" location="Prop!G3" display="Proportional distribution - sample size (Example 9.7)"/>
    <hyperlink ref="B237" location="Beta!A1" display="Beta distribution (Example 9.10)"/>
    <hyperlink ref="B317" location="'T Power 1'!A1" display="Power for given mean, one-tailed test (Example 5)"/>
    <hyperlink ref="B318" location="'T Power 1'!K1" display="Power curve (Figure 8)"/>
    <hyperlink ref="B319" location="'T Power 3'!A1" display="Power, one-tailed test, given mean (Figure 14)"/>
    <hyperlink ref="B320" location="'T Power 2'!A1" display="Power, based on effect size, alpha and sample size (Example 6a)"/>
    <hyperlink ref="B328" location="'2 Sample T 2'!A1" display="Two independent sample t test, equal variance (Example 11.4)"/>
    <hyperlink ref="B329" location="'2 Sample T 2'!R42" display="Effect size (example 11.9)"/>
    <hyperlink ref="B333" location="'2 Sample T 2'!S3" display="Two independent sample t test, unequal variance (Example 11.10)"/>
    <hyperlink ref="B334" location="'2 Sample T 3'!A1" display="Two independent samples, unequal variance (Example 11.11)"/>
    <hyperlink ref="B336" location="'2 Sample T 3'!O19" display="Two sample data analysis tool with unequal variance (Figure 11.22)"/>
    <hyperlink ref="B335" location="'2 Sample T 3'!E40" display="Two independent sample t test, unequal variance (Example 11.11)"/>
    <hyperlink ref="B337" location="'2 Sample T 3'!E19" display="Two sample supplemental data analysis tool (Example 11.12)"/>
    <hyperlink ref="B340" location="'2P Sample T 1'!A1" display="Two paired samples t test (Example 11.13)"/>
    <hyperlink ref="B341" location="'2P Sample T 1'!L34" display="Two paired samples supplementary t test (Example 11.27)"/>
    <hyperlink ref="B342" location="'2P Sample T 1'!F3" display="Two paired samples data analysis tool (Figure 11.28)"/>
    <hyperlink ref="B344" location="'2P Sample T 1'!F34" display="Comparing paired and independent approaches (Figure 11.29 and 11.30)"/>
    <hyperlink ref="B345" location="'2P Sample T 2'!A1" display="One sample data analysis (Example 11.14)"/>
    <hyperlink ref="B222" location="Prop!A1" display="Two sample hypothesis testing (Example 9.8)"/>
    <hyperlink ref="B386" location="'Good Fit 0'!A1" display="Chi-square goodness of fit (Example 12.4)"/>
    <hyperlink ref="B395" location="'Chi-Sq 1'!M1" display="Chi-square supplemental data analysis tool (Figure 12.8)"/>
    <hyperlink ref="B404" location="'Chi-Sq 1'!X11" display="Cramer's V effect size (Figure 12.8)"/>
    <hyperlink ref="B405" location="'Chi-Sq 3'!A1" display="Odds ratio effect size (Example 12.11)"/>
    <hyperlink ref="B427" location="'F Test'!A1" display="F-Test two-sample for variances (Example 12.12)"/>
    <hyperlink ref="B428" location="'F Test'!D20" display="F-Test Two-Sample for Variances data analysis tool (Figure 12.14)"/>
    <hyperlink ref="B56" location="'Prob 0'!A1" display="Probability calculation (Example 3.6)"/>
    <hyperlink ref="B196" location="'Norm Power 2'!A14" display="Alternative approach for calculating power (Figure 8.15)"/>
    <hyperlink ref="B197" location="'Norm Power 2'!A26" display="Alternative approach for determining sample size (Figure 8.16)"/>
    <hyperlink ref="B400" location="Fisher!A1" display="Fisher exact test (Example 1)"/>
    <hyperlink ref="B41" location="'Sort Rows'!A1" display="Sort rows removing duplicates (Example 5)"/>
    <hyperlink ref="B40" location="'Sort Rows'!T1" display="Sort by rows (Example 4)"/>
    <hyperlink ref="B45" location="'Select Col'!A1" display="Select columns from data range (Example 6)"/>
    <hyperlink ref="B44" location="Extract!A1" display="Extract columns from data range (Example 3)"/>
    <hyperlink ref="B102" location="Histogram!M1" display="Real Statistics FREQTABLE supplemental function (Example 4)"/>
    <hyperlink ref="B108" location="Histogram!Q1" display="Real Statistics Frequency Table data analysis tool (Example 2)"/>
    <hyperlink ref="B61" location="'Prob 2'!M1" display="Frequency function using Real Statistics supplemental function (Example 3)"/>
    <hyperlink ref="B62" location="'Prob 2'!Q1" display="Frequency function using Real Statistics data analysis tool"/>
    <hyperlink ref="B249" location="Runs!A1" display="Probability of a run of at least 6 heads (Example 1)"/>
    <hyperlink ref="B250" location="Runs!K1" display="Probability of a run of exactly 6 heads (Example 2)"/>
    <hyperlink ref="B251" location="Runs!U1" display="Probability of a run of at least 6 heads or tails (Example 3)"/>
    <hyperlink ref="B16" location="'Line Chart 2'!A1" display="Line Chart (Example 3)"/>
    <hyperlink ref="B70" location="Central!A1" display="Mean, median, etc. (Examples 1-5"/>
    <hyperlink ref="B75" location="Var!A1" display="Variance, standard deviation, etc. (Examples 1,2, 4-8)"/>
    <hyperlink ref="B81" location="SKEW!A1" display="Skewness and kurtosis (Examples 1, 2)"/>
    <hyperlink ref="B86" location="'Rank 0'!A1" display="Various ranking and percentile functions (Examples 1-4)"/>
    <hyperlink ref="B89" location="'Rank 1'!T1" display="PERCENTILE vs. PERCENTILE.EXC (Example)"/>
    <hyperlink ref="B90" location="'Rank 1'!Y1" display="PERCENTILE vs. PERCENTILE.EXC (Example 9)"/>
    <hyperlink ref="B25" location="'Sort Filter'!A1" display="Sorting, Filtering, Removing Duplicates (Example 1)"/>
    <hyperlink ref="B130" location="Missing!A1" display="Remove missing data (Example 1)"/>
    <hyperlink ref="B131" location="Missing!Q1" display="Remove missing data (Example 2)"/>
    <hyperlink ref="B26" location="'Sort Filter'!P1" display="Remove Duplicates (Example 2)"/>
    <hyperlink ref="B27" location="'Sort Filter'!A14" display="Filter (Example 3)"/>
    <hyperlink ref="B396" location="'Chi-Sq 4'!A1" display="Chi-square independence testing using standard format (Example 4)"/>
    <hyperlink ref="B353" location="'NT 1'!A1" display="Chart of the distribution (Figure 1)"/>
    <hyperlink ref="B355" location="'NT 1'!AH1" display="One sample test (Example 1)"/>
    <hyperlink ref="B357" location="'NT 1'!AR1" display="Two independent samples (Example 3)"/>
    <hyperlink ref="B354" location="'NT 1'!Q1" display="Chart of the distribution (Figure 2)"/>
    <hyperlink ref="B356" location="'NT 1'!AM1" display="Paired samples (Example 2)"/>
    <hyperlink ref="B358" location="'NT 1'!AW1" display="Calculating sample size (Example 4)"/>
    <hyperlink ref="B382" location="'NCHI 3'!A1" display="Power (Example 3)"/>
    <hyperlink ref="B383" location="'NF 3'!J24" display="Sample size required (Example 4)"/>
    <hyperlink ref="B415" location="'NCHI 1'!A1" display="Chart of the noncentral chi-square distribution (Figure 1)"/>
    <hyperlink ref="B417" location="'NCHI 2'!A1" display="Power for goodness of fit (Example 1)"/>
    <hyperlink ref="B418" location="'NCHI 2'!F1" display="Sample size for independence testing (Example 2)"/>
    <hyperlink ref="B436" location="'NF 1'!A1" display="Chart of the noncentral F distribution (Figure 1)"/>
    <hyperlink ref="B431" location="'Power Var2'!I1" display="Power for two sample variance test, 2 tail (Example 3)"/>
    <hyperlink ref="B432" location="'Power Var2'!I24" display="Sample size for two-sample variance test (Example 4)"/>
    <hyperlink ref="B127" location="Winsor!A1" display="Trimmed and Winsorized data (Example 1)"/>
    <hyperlink ref="B103" location="'Freq 2'!I1" display="Descriptive statistics for data in a frequency table (Example 5)"/>
    <hyperlink ref="B104" location="'Freq 2'!Q1" display="Real Statistics data analysis tool for obatining desc stats for frequency table (Example 8)"/>
    <hyperlink ref="B35" location="'Reformat 1'!A1" display="Sorting, removing duplicates, etc. (Example 1)"/>
    <hyperlink ref="B36" location="'Reformat 1'!P1" display="Sort and extract unique (Example 2)"/>
    <hyperlink ref="B262" location="Gamma!A1" display="Time to k events (Example 1)"/>
    <hyperlink ref="B266" location="Expon!A1" display="Time to first event (Example 1)"/>
    <hyperlink ref="B267" location="Expon!A8" display="Time to first event + MTTF (Example 2)"/>
    <hyperlink ref="B225" location="NegBinom!A1" display="Geometric distribution (Example 1)"/>
    <hyperlink ref="B226" location="NegBinom!A11" display="Negative binomial distribution (Example 2)"/>
    <hyperlink ref="B227" location="NegBinom!A20" display="Inverse negative binomial distribution (Example 3)"/>
    <hyperlink ref="B230" location="Hypgeom!A1" display="Hypergeometric distribution (Example 1)"/>
    <hyperlink ref="B231" location="Hypgeom!F1" display="Hypergeometric distribution (Example 2)"/>
    <hyperlink ref="B232" location="Hypgeom!I1" display="Hypergeometric distribution, what-if (Example 3)"/>
    <hyperlink ref="B213" location="'Binomial 2'!J3" display="Hypothesis testing binomial distribution (Example 3)"/>
    <hyperlink ref="B254" location="'Bin Power 1'!A1" display="Power of one-tailed test (Example 1)"/>
    <hyperlink ref="B255" location="'Bin Power 1'!M1" display="Power curve for Example 1"/>
    <hyperlink ref="B305" location="'T Dist 2'!A1" display="Example of the various functions (Figure 5)"/>
    <hyperlink ref="B233" location="Hypgeom!N1" display="Hypergeometric distribution (Example 4)"/>
    <hyperlink ref="B256" location="'Bin Power 2'!A1" display="Power of two-tailed test (Example 2)"/>
    <hyperlink ref="B257" location="'Bin Power 3'!A1" display="Sample size requirement (Example 3)"/>
    <hyperlink ref="B271" location="Uniform!A1" display="Uniform distribution (Example 2)"/>
    <hyperlink ref="B236" location="Beta!H1" display="Beta distribution chart (Figure 1)"/>
    <hyperlink ref="B243" location="'Poisson 1'!F1" display="Poisson distribution chart (Figure 1)"/>
    <hyperlink ref="B71" location="Central!L1" display="Column means (Example 2)"/>
    <hyperlink ref="B76" location="Var!J1" display="Column variance and standard deviation (Examples 3)"/>
    <hyperlink ref="B370" location="Grubbs!A1" display="Grubbs' Test (Example 1)"/>
    <hyperlink ref="B371" location="ESD!A1" display="Extension to Grubbs' Test (Example 2)"/>
    <hyperlink ref="B122" location="ROC!A1" display="ROC Plot (Example 1)"/>
    <hyperlink ref="B123" location="'ROC 1'!A1" display="ROC Plot, alternative format (Example 1)"/>
    <hyperlink ref="B359" location="'NT 2'!A1" display="Confidence interval for effect size (Example 5)"/>
    <hyperlink ref="B437" location="'NF 1'!R1" display="Inverse function"/>
    <hyperlink ref="B416" location="'NCHI 1'!Q1" display="Inverse function"/>
    <hyperlink ref="B419" location="'NCHI 2'!K1" display="Confidence interval for effect size and power (Example 3)"/>
    <hyperlink ref="B360" location="'NT 2'!Z1" display="Confidence interval for power (Example 6)"/>
    <hyperlink ref="B37" location="'Reformat 2'!A1" display="Sort using data analysis tool (Example 3)"/>
    <hyperlink ref="B48" location="Misc!A1" display="Examples"/>
    <hyperlink ref="B112" location="'Box Plot 1'!E19" display="Box Plot (Example 1 using .EXC)"/>
    <hyperlink ref="B113" location="'Box Plot 3'!A1" display="Box Plot with negative data"/>
    <hyperlink ref="B155" location="'Log-Norm 1'!A1" display="Chart of log-normal distribution (Figure 1)"/>
    <hyperlink ref="B156" location="'Log-Norm 2'!A1" display="Equivalent formulas"/>
    <hyperlink ref="B121" location="ROC!L23" display="Classification Table (Example 1)"/>
    <hyperlink ref="B200" location="Outlier!A1" display="Real statistics data analysis tool"/>
    <hyperlink ref="B265" location="Expon!G1" display="Chart of exponential distribution (Figure 1)"/>
    <hyperlink ref="B424" location="'F Dist'!A1" display="Example of the various functions (Figure 1)"/>
    <hyperlink ref="B433" location="'Power Var2a'!A1" display="Example 1 and 2 using Excel 2007"/>
    <hyperlink ref="B430" location="'Power Var2'!A1" display="Power for two sample variance test, 1 tail (Example 2)"/>
    <hyperlink ref="B377" location="'Chi-Sq'!P1" display="Example of the equivalent functions"/>
    <hyperlink ref="B343" location="'2P Sample T1a'!A1" display="Two paired samples data analysis tool with missing data (Example 2)"/>
    <hyperlink ref="B268" location="'Expon 1'!A1" display="Product reliability acceptance test (Example 3)"/>
    <hyperlink ref="B201" location="'Outlier 1'!A1" display="Real statistics STANDARD function (Example 2)"/>
    <hyperlink ref="B277" location="'Weibull 1'!A1" display="Weibull distribution (Example 2)"/>
    <hyperlink ref="B51" location="'Step Chart 1'!A1" display="Real Statistics data analysis tool"/>
    <hyperlink ref="B208" location="'Binomial 4'!A1" display="Critical values"/>
    <hyperlink ref="B17" location="'Scatter Chart'!A1" display="Scatter Chart (Example 4)"/>
    <hyperlink ref="B18" location="'Step Chart'!A1" display="Step Chart (Example 5)"/>
    <hyperlink ref="B401" location="'Fisher 2'!A1" display="Fisher exact test (Example 2)"/>
    <hyperlink ref="B184" location="Random!A1" display="Random number generation"/>
    <hyperlink ref="B246" location="'Poisson 3'!A1" display="Confidence interval for the mean"/>
    <hyperlink ref="B30" location="Seek!A1" display="Square root example (Example 1)"/>
    <hyperlink ref="B134" location="'Diversity 1'!A1" display="Shannon's Index (Example 1)"/>
    <hyperlink ref="B135" location="'Diversity 2'!A1" display="Brillouin's Index (Example 2)"/>
    <hyperlink ref="B136" location="'Diversity 3'!A1" display="Simpson's Index (Example 3)"/>
    <hyperlink ref="B137" location="'Diversity 3'!I1" display="Real Statistics data analysis tool"/>
    <hyperlink ref="B282" location="'Fit Exp'!A1" display="Exponential distribution (Example 1)"/>
    <hyperlink ref="B283" location="'Fit Weibull'!A1" display="Weibull distribution (Example 2)"/>
    <hyperlink ref="B114" location="'Box Plot 4'!A1" display="Real Statistics data analysis tool"/>
    <hyperlink ref="B78" location="'Combined 2'!A1" display="Combining two or more samples (Example 5)"/>
    <hyperlink ref="B366" location="'COV 1'!A1" display="One sample testing (Example 1)"/>
    <hyperlink ref="B367" location="'COV 2'!A1" display="Two sample testing Example 2)"/>
    <hyperlink ref="B87" location="'Rank 2'!A1" display="Real Statistics RANK_AVG vs. Excel RANK.AVG function"/>
    <hyperlink ref="B65" location="'Chi-Sq 0'!A1" display="Chi-square cumulative distribution"/>
    <hyperlink ref="B390" location="Dispers!A1" display="Index of dispersion (Example 5)"/>
    <hyperlink ref="B406" location="'Fisher 2'!T1" display="Fisher exact test"/>
    <hyperlink ref="B284" location="'Fit Wei'!A1" display="Gamma distribution"/>
    <hyperlink ref="B285" location="'Fit Uniform'!A1" display="Uniform distribution"/>
    <hyperlink ref="B288" location="'MLE Wei'!A1" display="Weibull distrubution via Solver"/>
    <hyperlink ref="B289" location="'MLE Wei 1'!A1" display="Weibull distrubution via Newton's Method"/>
    <hyperlink ref="B292" location="'MLE Beta'!A1" display="Beta distribution"/>
    <hyperlink ref="B293" location="'MLE Uniform'!A1" display="Uniform distribution"/>
    <hyperlink ref="B296" location="'Reg Wei'!A1" display="Weibull distribution"/>
    <hyperlink ref="B409" location="CMH!A1" display="Data set (Figure 2)"/>
    <hyperlink ref="B410" location="'CMH 1'!A1" display="CMH Test (Figure 3 and 4)"/>
    <hyperlink ref="B411" location="'CMH 1'!A25" display="Woolf's homogenity test (Figure 5)"/>
    <hyperlink ref="B412" location="'CMH 2'!A1" display="Real Statistics support (Figure 7)"/>
    <hyperlink ref="B397" location="'Chi-Sq 5'!A1" display="Chi-square independence testing using second version of standard format (Example 4)"/>
    <hyperlink ref="B290" location="'MLE Wei 2'!A1" display="Weibull distrubution with censored data"/>
    <hyperlink ref="B291" location="'MLE Wei 3'!A1" display="Weibull distribution with censored data (Solver)"/>
    <hyperlink ref="B274" location="'Weibull A'!A1" display="Chart of pdf varying beta"/>
    <hyperlink ref="B275" location="'Weibull B'!A1" display="Chart of pdf varying alpha"/>
    <hyperlink ref="B279" location="'Weibull 3'!A1" display="Mean residual life"/>
    <hyperlink ref="B278" location="'Weibull 2'!A1" display="Survival plot"/>
    <hyperlink ref="B299" location="'MLE Wei 1'!U1" display="Weibull distribution"/>
    <hyperlink ref="B429" location="'CI Var Ratio'!A1" display="Confidence interval (Example 2)"/>
    <hyperlink ref="B349" location="'Trim T'!A1" display="Trimmed Means t test"/>
    <hyperlink ref="B350" location="Yuen!A1" display="Yuen/Welch test"/>
    <hyperlink ref="B124" location="AUC!A1" display="Confidence interval for AUC"/>
    <hyperlink ref="B316" location="'1 Sample T 2a'!A1" display="Confidence interval for effect size"/>
    <hyperlink ref="B314" location="'1 Sample T 3'!A1" display="Prediction Interval (Example 5)"/>
    <hyperlink ref="B323" location="'T Power 6'!A1" display="Power for two-tailed test"/>
    <hyperlink ref="B321" location="'T Power 4'!A1" display="Effect size needed to achieve power goal, based on alpha and sample size (Example 6b)"/>
    <hyperlink ref="B322" location="'T Power 5'!A1" display="Sample size needed to achieve power goal, based on effect size and alpha (Example 6c)"/>
    <hyperlink ref="B330" location="'2 Sample T 4'!A1" display="Confidence interval of effect size"/>
    <hyperlink ref="B346" location="'2P Sample T 3a'!A1" display="Confidence interval for effect size"/>
    <hyperlink ref="B361" location="'1 Sample T 2a'!L1" display="Confidence interval of effect size for one sample test"/>
    <hyperlink ref="B362:B363" location="'1 Sample T 2a'!L1" display="Confidence interval of effect size for one sample test"/>
    <hyperlink ref="B362" location="'2 Sample T 4'!L1" display="Confidence interval of effect size for two sample test"/>
    <hyperlink ref="B363" location="'2P Sample T 3'!A1" display="Confidence interval of effect size for paired sample test"/>
    <hyperlink ref="B117" location="'Dot 1'!A1" display="Dot Plot (manual)"/>
    <hyperlink ref="B118" location="'Dot 2'!A1" display="Dot Plot (Real Statistics)"/>
  </hyperlink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16"/>
  <sheetViews>
    <sheetView workbookViewId="0">
      <selection activeCell="E8" sqref="E8"/>
    </sheetView>
  </sheetViews>
  <sheetFormatPr defaultRowHeight="15" x14ac:dyDescent="0.25"/>
  <cols>
    <col min="1" max="1" width="5.42578125" customWidth="1"/>
    <col min="2" max="3" width="8.85546875" customWidth="1"/>
    <col min="4" max="4" width="4" customWidth="1"/>
    <col min="5" max="5" width="24.85546875" customWidth="1"/>
  </cols>
  <sheetData>
    <row r="1" spans="1:5" x14ac:dyDescent="0.25">
      <c r="A1" s="1" t="s">
        <v>27</v>
      </c>
    </row>
    <row r="3" spans="1:5" x14ac:dyDescent="0.25">
      <c r="A3" s="348" t="s">
        <v>28</v>
      </c>
      <c r="B3" s="349" t="s">
        <v>29</v>
      </c>
      <c r="C3" s="344" t="s">
        <v>30</v>
      </c>
      <c r="D3" s="41"/>
    </row>
    <row r="4" spans="1:5" x14ac:dyDescent="0.25">
      <c r="A4" s="350">
        <v>1</v>
      </c>
      <c r="B4" s="351">
        <v>0.12</v>
      </c>
      <c r="C4" s="345">
        <f>B4</f>
        <v>0.12</v>
      </c>
      <c r="D4" s="77"/>
      <c r="E4" t="s">
        <v>965</v>
      </c>
    </row>
    <row r="5" spans="1:5" x14ac:dyDescent="0.25">
      <c r="A5" s="352">
        <f>A4+1</f>
        <v>2</v>
      </c>
      <c r="B5" s="353">
        <v>0.25</v>
      </c>
      <c r="C5" s="346">
        <f>B5+C4</f>
        <v>0.37</v>
      </c>
      <c r="D5" s="77"/>
      <c r="E5" t="s">
        <v>966</v>
      </c>
    </row>
    <row r="6" spans="1:5" x14ac:dyDescent="0.25">
      <c r="A6" s="352">
        <f t="shared" ref="A6:A11" si="0">A5+1</f>
        <v>3</v>
      </c>
      <c r="B6" s="353">
        <v>0.08</v>
      </c>
      <c r="C6" s="346">
        <f t="shared" ref="C6:C11" si="1">B6+C5</f>
        <v>0.45</v>
      </c>
      <c r="D6" s="77"/>
      <c r="E6" t="s">
        <v>967</v>
      </c>
    </row>
    <row r="7" spans="1:5" x14ac:dyDescent="0.25">
      <c r="A7" s="352">
        <f t="shared" si="0"/>
        <v>4</v>
      </c>
      <c r="B7" s="353">
        <v>0.14000000000000001</v>
      </c>
      <c r="C7" s="346">
        <f t="shared" si="1"/>
        <v>0.59000000000000008</v>
      </c>
      <c r="D7" s="77"/>
      <c r="E7" t="s">
        <v>968</v>
      </c>
    </row>
    <row r="8" spans="1:5" x14ac:dyDescent="0.25">
      <c r="A8" s="352">
        <f t="shared" si="0"/>
        <v>5</v>
      </c>
      <c r="B8" s="353">
        <v>0.09</v>
      </c>
      <c r="C8" s="346">
        <f t="shared" si="1"/>
        <v>0.68</v>
      </c>
      <c r="D8" s="77"/>
      <c r="E8" t="s">
        <v>969</v>
      </c>
    </row>
    <row r="9" spans="1:5" x14ac:dyDescent="0.25">
      <c r="A9" s="352">
        <f t="shared" si="0"/>
        <v>6</v>
      </c>
      <c r="B9" s="353">
        <v>0.18</v>
      </c>
      <c r="C9" s="346">
        <f t="shared" si="1"/>
        <v>0.8600000000000001</v>
      </c>
      <c r="D9" s="77"/>
      <c r="E9" t="s">
        <v>970</v>
      </c>
    </row>
    <row r="10" spans="1:5" x14ac:dyDescent="0.25">
      <c r="A10" s="352">
        <f t="shared" si="0"/>
        <v>7</v>
      </c>
      <c r="B10" s="353">
        <v>0.09</v>
      </c>
      <c r="C10" s="346">
        <f t="shared" si="1"/>
        <v>0.95000000000000007</v>
      </c>
      <c r="D10" s="77"/>
      <c r="E10" t="s">
        <v>971</v>
      </c>
    </row>
    <row r="11" spans="1:5" x14ac:dyDescent="0.25">
      <c r="A11" s="354">
        <f t="shared" si="0"/>
        <v>8</v>
      </c>
      <c r="B11" s="355">
        <v>0.05</v>
      </c>
      <c r="C11" s="347">
        <f t="shared" si="1"/>
        <v>1</v>
      </c>
      <c r="D11" s="77"/>
      <c r="E11" t="s">
        <v>972</v>
      </c>
    </row>
    <row r="14" spans="1:5" x14ac:dyDescent="0.25">
      <c r="A14" s="356" t="s">
        <v>973</v>
      </c>
      <c r="B14" s="356"/>
      <c r="C14" s="357">
        <f>PROB(A4:A11,B4:B11,3)</f>
        <v>0.08</v>
      </c>
      <c r="E14" s="22" t="s">
        <v>977</v>
      </c>
    </row>
    <row r="15" spans="1:5" x14ac:dyDescent="0.25">
      <c r="A15" s="356" t="s">
        <v>974</v>
      </c>
      <c r="B15" s="356"/>
      <c r="C15" s="358">
        <f>PROB(A4:A11,B4:B11,,5)</f>
        <v>0.68</v>
      </c>
      <c r="E15" s="22" t="s">
        <v>978</v>
      </c>
    </row>
    <row r="16" spans="1:5" x14ac:dyDescent="0.25">
      <c r="A16" s="356" t="s">
        <v>975</v>
      </c>
      <c r="B16" s="356"/>
      <c r="C16" s="359">
        <f>PROB(A4:A11,B4:B11,3,5)</f>
        <v>0.31000000000000005</v>
      </c>
      <c r="E16" s="22" t="s">
        <v>976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S14"/>
  <sheetViews>
    <sheetView workbookViewId="0">
      <selection activeCell="S8" sqref="S8"/>
    </sheetView>
  </sheetViews>
  <sheetFormatPr defaultRowHeight="15" x14ac:dyDescent="0.25"/>
  <cols>
    <col min="1" max="1" width="4.7109375" customWidth="1"/>
    <col min="2" max="2" width="6.140625" customWidth="1"/>
    <col min="3" max="3" width="6" customWidth="1"/>
    <col min="4" max="4" width="6.140625" customWidth="1"/>
    <col min="5" max="5" width="6.28515625" customWidth="1"/>
    <col min="9" max="11" width="6.28515625" customWidth="1"/>
    <col min="13" max="14" width="7.85546875" customWidth="1"/>
    <col min="17" max="18" width="6.42578125" customWidth="1"/>
  </cols>
  <sheetData>
    <row r="1" spans="1:19" x14ac:dyDescent="0.25">
      <c r="A1" s="1" t="s">
        <v>31</v>
      </c>
      <c r="M1" t="s">
        <v>515</v>
      </c>
      <c r="Q1" t="s">
        <v>516</v>
      </c>
    </row>
    <row r="2" spans="1:19" x14ac:dyDescent="0.25">
      <c r="G2" s="19" t="s">
        <v>514</v>
      </c>
    </row>
    <row r="3" spans="1:19" x14ac:dyDescent="0.25">
      <c r="A3" s="360">
        <v>14</v>
      </c>
      <c r="C3" s="177" t="s">
        <v>28</v>
      </c>
      <c r="D3" s="177" t="s">
        <v>99</v>
      </c>
      <c r="E3" s="177" t="s">
        <v>29</v>
      </c>
      <c r="G3" s="154" t="e">
        <f t="array" aca="1" ref="G3:G14" ca="1">NODUPES(A3:A14,"")</f>
        <v>#NAME?</v>
      </c>
      <c r="I3" s="177" t="s">
        <v>28</v>
      </c>
      <c r="J3" s="177" t="s">
        <v>99</v>
      </c>
      <c r="K3" s="177" t="s">
        <v>29</v>
      </c>
      <c r="M3" s="42" t="s">
        <v>747</v>
      </c>
      <c r="N3" s="42" t="s">
        <v>99</v>
      </c>
      <c r="O3" s="42" t="s">
        <v>443</v>
      </c>
      <c r="Q3" t="s">
        <v>126</v>
      </c>
    </row>
    <row r="4" spans="1:19" x14ac:dyDescent="0.25">
      <c r="A4" s="361">
        <v>18</v>
      </c>
      <c r="C4" s="8">
        <v>12</v>
      </c>
      <c r="D4" s="8">
        <f>COUNTIF($A$3:$A$15,C4)</f>
        <v>2</v>
      </c>
      <c r="E4" s="363">
        <f>D4/D$9</f>
        <v>0.16666666666666666</v>
      </c>
      <c r="G4" s="163" t="e">
        <f ca="1"/>
        <v>#NAME?</v>
      </c>
      <c r="I4" s="8">
        <v>12</v>
      </c>
      <c r="J4" s="8">
        <f>COUNTIF($A$3:$A$14,I4)</f>
        <v>2</v>
      </c>
      <c r="K4" s="8">
        <f>J4/J$9</f>
        <v>0.16666666666666666</v>
      </c>
      <c r="M4" s="156" t="e">
        <f t="array" aca="1" ref="M4:O8" ca="1">FREQTABLE(A3:A14)</f>
        <v>#NAME?</v>
      </c>
      <c r="N4" s="171" t="e">
        <f ca="1"/>
        <v>#NAME?</v>
      </c>
      <c r="O4" s="172" t="e">
        <f ca="1"/>
        <v>#NAME?</v>
      </c>
    </row>
    <row r="5" spans="1:19" x14ac:dyDescent="0.25">
      <c r="A5" s="361">
        <v>13</v>
      </c>
      <c r="C5" s="8">
        <v>13</v>
      </c>
      <c r="D5" s="8">
        <f>COUNTIF($A$3:$A$17,C5)</f>
        <v>3</v>
      </c>
      <c r="E5" s="363">
        <f>D5/D$9</f>
        <v>0.25</v>
      </c>
      <c r="G5" s="163" t="e">
        <f ca="1"/>
        <v>#NAME?</v>
      </c>
      <c r="I5" s="8">
        <v>13</v>
      </c>
      <c r="J5" s="8">
        <f>COUNTIF($A$3:$A$14,I5)</f>
        <v>3</v>
      </c>
      <c r="K5" s="8">
        <f>J5/J$9</f>
        <v>0.25</v>
      </c>
      <c r="M5" s="166" t="e">
        <f ca="1"/>
        <v>#NAME?</v>
      </c>
      <c r="N5" s="8" t="e">
        <f ca="1"/>
        <v>#NAME?</v>
      </c>
      <c r="O5" s="167" t="e">
        <f ca="1"/>
        <v>#NAME?</v>
      </c>
      <c r="Q5" s="282" t="s">
        <v>688</v>
      </c>
      <c r="R5" s="282" t="s">
        <v>99</v>
      </c>
      <c r="S5" s="282" t="s">
        <v>443</v>
      </c>
    </row>
    <row r="6" spans="1:19" x14ac:dyDescent="0.25">
      <c r="A6" s="361">
        <v>12</v>
      </c>
      <c r="C6" s="8">
        <v>14</v>
      </c>
      <c r="D6" s="8">
        <f>COUNTIF($A$3:$A$17,C6)</f>
        <v>1</v>
      </c>
      <c r="E6" s="363">
        <f>D6/D$9</f>
        <v>8.3333333333333329E-2</v>
      </c>
      <c r="G6" s="163" t="e">
        <f ca="1"/>
        <v>#NAME?</v>
      </c>
      <c r="I6" s="8">
        <v>14</v>
      </c>
      <c r="J6" s="8">
        <f>COUNTIF($A$3:$A$14,I6)</f>
        <v>1</v>
      </c>
      <c r="K6" s="8">
        <f>J6/J$9</f>
        <v>8.3333333333333329E-2</v>
      </c>
      <c r="M6" s="166" t="e">
        <f ca="1"/>
        <v>#NAME?</v>
      </c>
      <c r="N6" s="8" t="e">
        <f ca="1"/>
        <v>#NAME?</v>
      </c>
      <c r="O6" s="167" t="e">
        <f ca="1"/>
        <v>#NAME?</v>
      </c>
      <c r="Q6" t="e">
        <f t="array" aca="1" ref="Q6:Q10" ca="1">SortUnique(A3:A14)</f>
        <v>#NAME?</v>
      </c>
      <c r="R6">
        <f ca="1">COUNTIF($A$3:$A$14,Q6)</f>
        <v>0</v>
      </c>
      <c r="S6" t="e">
        <f ca="1">R6/$R$11</f>
        <v>#DIV/0!</v>
      </c>
    </row>
    <row r="7" spans="1:19" x14ac:dyDescent="0.25">
      <c r="A7" s="361">
        <v>18</v>
      </c>
      <c r="C7" s="8">
        <v>16</v>
      </c>
      <c r="D7" s="8">
        <f>COUNTIF($A$3:$A$17,C7)</f>
        <v>2</v>
      </c>
      <c r="E7" s="363">
        <f>D7/D$9</f>
        <v>0.16666666666666666</v>
      </c>
      <c r="G7" s="163" t="e">
        <f ca="1"/>
        <v>#NAME?</v>
      </c>
      <c r="I7" s="8">
        <v>16</v>
      </c>
      <c r="J7" s="8">
        <f>COUNTIF($A$3:$A$14,I7)</f>
        <v>2</v>
      </c>
      <c r="K7" s="8">
        <f>J7/J$9</f>
        <v>0.16666666666666666</v>
      </c>
      <c r="M7" s="166" t="e">
        <f ca="1"/>
        <v>#NAME?</v>
      </c>
      <c r="N7" s="8" t="e">
        <f ca="1"/>
        <v>#NAME?</v>
      </c>
      <c r="O7" s="167" t="e">
        <f ca="1"/>
        <v>#NAME?</v>
      </c>
      <c r="Q7" t="e">
        <f ca="1"/>
        <v>#NAME?</v>
      </c>
      <c r="R7">
        <f ca="1">COUNTIF($A$3:$A$14,Q7)</f>
        <v>0</v>
      </c>
      <c r="S7" t="e">
        <f ca="1">R7/$R$11</f>
        <v>#DIV/0!</v>
      </c>
    </row>
    <row r="8" spans="1:19" x14ac:dyDescent="0.25">
      <c r="A8" s="361">
        <v>12</v>
      </c>
      <c r="C8" s="11">
        <v>18</v>
      </c>
      <c r="D8" s="11">
        <f>COUNTIF($A$3:$A$17,C8)</f>
        <v>4</v>
      </c>
      <c r="E8" s="364">
        <f>D8/D$9</f>
        <v>0.33333333333333331</v>
      </c>
      <c r="G8" s="163" t="e">
        <f ca="1"/>
        <v>#NAME?</v>
      </c>
      <c r="I8" s="11">
        <v>18</v>
      </c>
      <c r="J8" s="11">
        <f>COUNTIF($A$3:$A$14,I8)</f>
        <v>4</v>
      </c>
      <c r="K8" s="11">
        <f>J8/J$9</f>
        <v>0.33333333333333331</v>
      </c>
      <c r="M8" s="148" t="e">
        <f ca="1"/>
        <v>#NAME?</v>
      </c>
      <c r="N8" s="149" t="e">
        <f ca="1"/>
        <v>#NAME?</v>
      </c>
      <c r="O8" s="153" t="e">
        <f ca="1"/>
        <v>#NAME?</v>
      </c>
      <c r="Q8" t="e">
        <f ca="1"/>
        <v>#NAME?</v>
      </c>
      <c r="R8">
        <f ca="1">COUNTIF($A$3:$A$14,Q8)</f>
        <v>0</v>
      </c>
      <c r="S8" t="e">
        <f ca="1">R8/$R$11</f>
        <v>#DIV/0!</v>
      </c>
    </row>
    <row r="9" spans="1:19" x14ac:dyDescent="0.25">
      <c r="A9" s="361">
        <v>13</v>
      </c>
      <c r="D9">
        <f>SUM(D4:D8)</f>
        <v>12</v>
      </c>
      <c r="G9" s="163" t="e">
        <f ca="1"/>
        <v>#NAME?</v>
      </c>
      <c r="J9">
        <f>SUM(J4:J8)</f>
        <v>12</v>
      </c>
      <c r="Q9" t="e">
        <f ca="1"/>
        <v>#NAME?</v>
      </c>
      <c r="R9">
        <f ca="1">COUNTIF($A$3:$A$14,Q9)</f>
        <v>0</v>
      </c>
      <c r="S9" t="e">
        <f ca="1">R9/$R$11</f>
        <v>#DIV/0!</v>
      </c>
    </row>
    <row r="10" spans="1:19" x14ac:dyDescent="0.25">
      <c r="A10" s="361">
        <v>13</v>
      </c>
      <c r="G10" s="163" t="e">
        <f ca="1"/>
        <v>#NAME?</v>
      </c>
      <c r="Q10" s="276" t="e">
        <f ca="1"/>
        <v>#NAME?</v>
      </c>
      <c r="R10" s="276">
        <f ca="1">COUNTIF($A$3:$A$14,Q10)</f>
        <v>0</v>
      </c>
      <c r="S10" s="276" t="e">
        <f ca="1">R10/$R$11</f>
        <v>#DIV/0!</v>
      </c>
    </row>
    <row r="11" spans="1:19" x14ac:dyDescent="0.25">
      <c r="A11" s="361">
        <v>16</v>
      </c>
      <c r="G11" s="163" t="e">
        <f ca="1"/>
        <v>#NAME?</v>
      </c>
      <c r="R11">
        <f ca="1">SUM(R6:R10)</f>
        <v>0</v>
      </c>
      <c r="S11" t="e">
        <f ca="1">SUM(S6:S10)</f>
        <v>#DIV/0!</v>
      </c>
    </row>
    <row r="12" spans="1:19" x14ac:dyDescent="0.25">
      <c r="A12" s="361">
        <v>18</v>
      </c>
      <c r="G12" s="163" t="e">
        <f ca="1"/>
        <v>#NAME?</v>
      </c>
    </row>
    <row r="13" spans="1:19" x14ac:dyDescent="0.25">
      <c r="A13" s="361">
        <v>18</v>
      </c>
      <c r="G13" s="163" t="e">
        <f ca="1"/>
        <v>#NAME?</v>
      </c>
    </row>
    <row r="14" spans="1:19" x14ac:dyDescent="0.25">
      <c r="A14" s="362">
        <v>16</v>
      </c>
      <c r="G14" s="155" t="e">
        <f ca="1"/>
        <v>#NAME?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6"/>
  <dimension ref="A1:N22"/>
  <sheetViews>
    <sheetView workbookViewId="0">
      <selection activeCell="I15" sqref="I15"/>
    </sheetView>
  </sheetViews>
  <sheetFormatPr defaultRowHeight="15" x14ac:dyDescent="0.25"/>
  <cols>
    <col min="1" max="1" width="12.5703125" customWidth="1"/>
    <col min="6" max="6" width="11" customWidth="1"/>
  </cols>
  <sheetData>
    <row r="1" spans="1:14" x14ac:dyDescent="0.25">
      <c r="A1" s="1" t="s">
        <v>764</v>
      </c>
    </row>
    <row r="2" spans="1:14" x14ac:dyDescent="0.25">
      <c r="A2" s="1"/>
    </row>
    <row r="3" spans="1:14" x14ac:dyDescent="0.25">
      <c r="A3" s="1"/>
      <c r="B3" s="19" t="s">
        <v>979</v>
      </c>
      <c r="C3" s="19" t="s">
        <v>980</v>
      </c>
      <c r="D3" s="19" t="s">
        <v>981</v>
      </c>
      <c r="L3" s="19" t="s">
        <v>979</v>
      </c>
      <c r="M3" s="19" t="s">
        <v>980</v>
      </c>
      <c r="N3" s="19" t="s">
        <v>981</v>
      </c>
    </row>
    <row r="4" spans="1:14" x14ac:dyDescent="0.25">
      <c r="A4" s="1"/>
      <c r="B4" s="295">
        <v>5</v>
      </c>
      <c r="C4" s="295">
        <v>5</v>
      </c>
      <c r="D4" s="295">
        <v>5</v>
      </c>
      <c r="L4" s="316">
        <v>5</v>
      </c>
      <c r="M4" s="314">
        <v>5</v>
      </c>
      <c r="N4" s="317">
        <v>5</v>
      </c>
    </row>
    <row r="5" spans="1:14" x14ac:dyDescent="0.25">
      <c r="A5" s="1"/>
      <c r="B5" s="163">
        <v>2</v>
      </c>
      <c r="C5" s="163">
        <v>2</v>
      </c>
      <c r="D5" s="163">
        <v>2</v>
      </c>
      <c r="L5" s="166">
        <v>2</v>
      </c>
      <c r="M5" s="8">
        <v>2</v>
      </c>
      <c r="N5" s="167">
        <v>2</v>
      </c>
    </row>
    <row r="6" spans="1:14" x14ac:dyDescent="0.25">
      <c r="A6" s="1"/>
      <c r="B6" s="163">
        <v>-1</v>
      </c>
      <c r="C6" s="163">
        <v>-1</v>
      </c>
      <c r="D6" s="163">
        <v>-1</v>
      </c>
      <c r="L6" s="166">
        <v>-1</v>
      </c>
      <c r="M6" s="8">
        <v>-1</v>
      </c>
      <c r="N6" s="167">
        <v>-1</v>
      </c>
    </row>
    <row r="7" spans="1:14" x14ac:dyDescent="0.25">
      <c r="A7" s="1"/>
      <c r="B7" s="163">
        <v>3</v>
      </c>
      <c r="C7" s="163">
        <v>3</v>
      </c>
      <c r="D7" s="163">
        <v>3</v>
      </c>
      <c r="G7" s="19" t="s">
        <v>982</v>
      </c>
      <c r="H7" s="19" t="s">
        <v>983</v>
      </c>
      <c r="I7" s="19" t="s">
        <v>984</v>
      </c>
      <c r="L7" s="166">
        <v>3</v>
      </c>
      <c r="M7" s="8">
        <v>3</v>
      </c>
      <c r="N7" s="167">
        <v>3</v>
      </c>
    </row>
    <row r="8" spans="1:14" x14ac:dyDescent="0.25">
      <c r="A8" s="1"/>
      <c r="B8" s="163">
        <v>7</v>
      </c>
      <c r="C8" s="163">
        <v>7</v>
      </c>
      <c r="D8" s="163">
        <v>7</v>
      </c>
      <c r="G8" s="295">
        <v>50</v>
      </c>
      <c r="H8" s="295">
        <v>1.05</v>
      </c>
      <c r="I8" s="295">
        <v>5</v>
      </c>
      <c r="L8" s="166">
        <v>7</v>
      </c>
      <c r="M8" s="8">
        <v>7</v>
      </c>
      <c r="N8" s="167">
        <v>7</v>
      </c>
    </row>
    <row r="9" spans="1:14" x14ac:dyDescent="0.25">
      <c r="A9" s="1"/>
      <c r="B9" s="163">
        <v>5</v>
      </c>
      <c r="C9" s="163">
        <v>5</v>
      </c>
      <c r="D9" s="163">
        <v>8</v>
      </c>
      <c r="G9" s="155">
        <v>80</v>
      </c>
      <c r="H9" s="163">
        <v>1.05</v>
      </c>
      <c r="I9" s="163">
        <v>2</v>
      </c>
      <c r="L9" s="166">
        <v>5</v>
      </c>
      <c r="M9" s="8">
        <v>5</v>
      </c>
      <c r="N9" s="167">
        <v>8</v>
      </c>
    </row>
    <row r="10" spans="1:14" x14ac:dyDescent="0.25">
      <c r="A10" s="1"/>
      <c r="B10" s="163">
        <v>0</v>
      </c>
      <c r="C10" s="163">
        <v>0</v>
      </c>
      <c r="D10" s="163">
        <v>0</v>
      </c>
      <c r="H10" s="163">
        <v>1.1000000000000001</v>
      </c>
      <c r="I10" s="163">
        <v>-1</v>
      </c>
      <c r="L10" s="166">
        <v>0</v>
      </c>
      <c r="M10" s="8">
        <v>0</v>
      </c>
      <c r="N10" s="167">
        <v>0</v>
      </c>
    </row>
    <row r="11" spans="1:14" x14ac:dyDescent="0.25">
      <c r="A11" s="1"/>
      <c r="B11" s="155"/>
      <c r="C11" s="155">
        <v>2</v>
      </c>
      <c r="D11" s="155">
        <v>6</v>
      </c>
      <c r="H11" s="155">
        <v>1.1000000000000001</v>
      </c>
      <c r="I11" s="155">
        <v>0</v>
      </c>
      <c r="L11" s="148"/>
      <c r="M11" s="276">
        <v>2</v>
      </c>
      <c r="N11" s="153">
        <v>6</v>
      </c>
    </row>
    <row r="12" spans="1:14" x14ac:dyDescent="0.25">
      <c r="A12" s="1"/>
    </row>
    <row r="13" spans="1:14" x14ac:dyDescent="0.25">
      <c r="A13" s="24" t="s">
        <v>766</v>
      </c>
      <c r="B13" s="229">
        <f>AVERAGE(B4:B11)</f>
        <v>3</v>
      </c>
      <c r="C13" s="225">
        <f>AVERAGE(C4:C11)</f>
        <v>2.875</v>
      </c>
      <c r="D13" s="230">
        <f>AVERAGE(D4:D11)</f>
        <v>3.75</v>
      </c>
      <c r="F13" t="s">
        <v>769</v>
      </c>
      <c r="G13" s="229">
        <f>HARMEAN(G8:G11)</f>
        <v>61.538461538461533</v>
      </c>
      <c r="H13" s="225">
        <f>HARMEAN(H8:H11)</f>
        <v>1.0744186046511628</v>
      </c>
      <c r="I13" s="230" t="e">
        <f>HARMEAN(I8:I11)</f>
        <v>#NUM!</v>
      </c>
      <c r="K13" t="s">
        <v>360</v>
      </c>
      <c r="L13" s="4" t="e">
        <f t="array" aca="1" ref="L13:N13" ca="1">COUNTCOL(L4:N11)</f>
        <v>#NAME?</v>
      </c>
      <c r="M13" s="292" t="e">
        <f ca="1"/>
        <v>#NAME?</v>
      </c>
      <c r="N13" s="6" t="e">
        <f ca="1"/>
        <v>#NAME?</v>
      </c>
    </row>
    <row r="14" spans="1:14" x14ac:dyDescent="0.25">
      <c r="A14" s="1"/>
      <c r="K14" t="s">
        <v>63</v>
      </c>
      <c r="L14" s="166" t="e">
        <f t="array" aca="1" ref="L14:N14" ca="1">MEANCOL(L4:N11)</f>
        <v>#NAME?</v>
      </c>
      <c r="M14" s="8" t="e">
        <f ca="1"/>
        <v>#NAME?</v>
      </c>
      <c r="N14" s="167" t="e">
        <f ca="1"/>
        <v>#NAME?</v>
      </c>
    </row>
    <row r="15" spans="1:14" x14ac:dyDescent="0.25">
      <c r="A15" s="24" t="s">
        <v>767</v>
      </c>
      <c r="B15" s="229">
        <f>MEDIAN(B4:B11)</f>
        <v>3</v>
      </c>
      <c r="C15" s="225">
        <f>MEDIAN(C4:C11)</f>
        <v>2.5</v>
      </c>
      <c r="D15" s="230">
        <f>MEDIAN(D4:D11)</f>
        <v>4</v>
      </c>
      <c r="F15" t="s">
        <v>770</v>
      </c>
      <c r="G15" s="229">
        <f>GEOMEAN(G8:G11)</f>
        <v>63.245553203367585</v>
      </c>
      <c r="H15" s="225">
        <f>GEOMEAN(H8:H11)</f>
        <v>1.074709263010234</v>
      </c>
      <c r="I15" s="230" t="e">
        <f>GEOMEAN(I8:I11)</f>
        <v>#NUM!</v>
      </c>
      <c r="K15" t="s">
        <v>1206</v>
      </c>
      <c r="L15" s="148" t="e">
        <f t="array" aca="1" ref="L15:N15" ca="1">SUMCOL(L4:N11)</f>
        <v>#NAME?</v>
      </c>
      <c r="M15" s="276" t="e">
        <f ca="1"/>
        <v>#NAME?</v>
      </c>
      <c r="N15" s="153" t="e">
        <f ca="1"/>
        <v>#NAME?</v>
      </c>
    </row>
    <row r="17" spans="1:4" x14ac:dyDescent="0.25">
      <c r="A17" t="s">
        <v>765</v>
      </c>
      <c r="B17" s="229">
        <f>MODE(B4:B11)</f>
        <v>5</v>
      </c>
      <c r="C17" s="225">
        <f>MODE(C4:C11)</f>
        <v>5</v>
      </c>
      <c r="D17" s="230" t="e">
        <f>MODE(D4:D11)</f>
        <v>#N/A</v>
      </c>
    </row>
    <row r="19" spans="1:4" x14ac:dyDescent="0.25">
      <c r="A19" t="s">
        <v>1241</v>
      </c>
      <c r="B19" s="229">
        <f>_xlfn.MODE.SNGL(B4:B11)</f>
        <v>5</v>
      </c>
      <c r="C19" s="225">
        <f>_xlfn.MODE.SNGL(C4:C11)</f>
        <v>5</v>
      </c>
      <c r="D19" s="230" t="e">
        <f>_xlfn.MODE.SNGL(D4:D11)</f>
        <v>#N/A</v>
      </c>
    </row>
    <row r="21" spans="1:4" x14ac:dyDescent="0.25">
      <c r="A21" t="s">
        <v>768</v>
      </c>
      <c r="B21" s="316">
        <f t="array" ref="B21:B22">_xlfn.MODE.MULT(B4:B11)</f>
        <v>5</v>
      </c>
      <c r="C21" s="292">
        <f t="array" ref="C21:C22">_xlfn.MODE.MULT(C4:C11)</f>
        <v>5</v>
      </c>
      <c r="D21" s="317" t="e">
        <f t="array" ref="D21:D22">_xlfn.MODE.MULT(D4:D11)</f>
        <v>#N/A</v>
      </c>
    </row>
    <row r="22" spans="1:4" x14ac:dyDescent="0.25">
      <c r="B22" s="148">
        <v>5</v>
      </c>
      <c r="C22" s="276">
        <v>2</v>
      </c>
      <c r="D22" s="153" t="e">
        <v>#N/A</v>
      </c>
    </row>
  </sheetData>
  <pageMargins left="0.7" right="0.7" top="0.75" bottom="0.75" header="0.3" footer="0.3"/>
  <ignoredErrors>
    <ignoredError sqref="I13 I15 D17 D19 D21" evalError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24"/>
  <sheetViews>
    <sheetView workbookViewId="0"/>
  </sheetViews>
  <sheetFormatPr defaultRowHeight="15" x14ac:dyDescent="0.25"/>
  <cols>
    <col min="1" max="1" width="21.140625" customWidth="1"/>
    <col min="2" max="2" width="11.140625" customWidth="1"/>
    <col min="3" max="3" width="5" customWidth="1"/>
    <col min="4" max="4" width="72.5703125" customWidth="1"/>
  </cols>
  <sheetData>
    <row r="1" spans="1:4" x14ac:dyDescent="0.25">
      <c r="A1" s="1" t="s">
        <v>33</v>
      </c>
    </row>
    <row r="3" spans="1:4" x14ac:dyDescent="0.25">
      <c r="A3" t="s">
        <v>34</v>
      </c>
    </row>
    <row r="5" spans="1:4" x14ac:dyDescent="0.25">
      <c r="A5" t="s">
        <v>35</v>
      </c>
      <c r="B5" s="21">
        <v>0.05</v>
      </c>
      <c r="D5" t="s">
        <v>36</v>
      </c>
    </row>
    <row r="6" spans="1:4" x14ac:dyDescent="0.25">
      <c r="A6" t="s">
        <v>37</v>
      </c>
      <c r="B6" s="21">
        <v>0.08</v>
      </c>
      <c r="D6" t="s">
        <v>38</v>
      </c>
    </row>
    <row r="7" spans="1:4" x14ac:dyDescent="0.25">
      <c r="A7" t="s">
        <v>39</v>
      </c>
      <c r="B7" s="21">
        <v>0.1</v>
      </c>
      <c r="D7" t="s">
        <v>40</v>
      </c>
    </row>
    <row r="8" spans="1:4" x14ac:dyDescent="0.25">
      <c r="B8" s="21"/>
    </row>
    <row r="9" spans="1:4" x14ac:dyDescent="0.25">
      <c r="A9" t="s">
        <v>41</v>
      </c>
      <c r="B9" s="21">
        <f>1+B5</f>
        <v>1.05</v>
      </c>
      <c r="D9" s="22" t="s">
        <v>42</v>
      </c>
    </row>
    <row r="10" spans="1:4" x14ac:dyDescent="0.25">
      <c r="A10" t="s">
        <v>43</v>
      </c>
      <c r="B10" s="21">
        <f>1+B6</f>
        <v>1.08</v>
      </c>
      <c r="D10" s="22" t="s">
        <v>44</v>
      </c>
    </row>
    <row r="11" spans="1:4" x14ac:dyDescent="0.25">
      <c r="A11" t="s">
        <v>45</v>
      </c>
      <c r="B11" s="21">
        <f>1+B7</f>
        <v>1.1000000000000001</v>
      </c>
      <c r="D11" s="22" t="s">
        <v>46</v>
      </c>
    </row>
    <row r="13" spans="1:4" x14ac:dyDescent="0.25">
      <c r="A13" t="s">
        <v>47</v>
      </c>
      <c r="B13" s="23">
        <f>B5+1</f>
        <v>1.05</v>
      </c>
      <c r="D13" s="22" t="s">
        <v>48</v>
      </c>
    </row>
    <row r="14" spans="1:4" x14ac:dyDescent="0.25">
      <c r="A14" t="s">
        <v>49</v>
      </c>
      <c r="B14" s="23">
        <f>(B6+1)*B13</f>
        <v>1.1340000000000001</v>
      </c>
      <c r="D14" s="22" t="s">
        <v>50</v>
      </c>
    </row>
    <row r="15" spans="1:4" x14ac:dyDescent="0.25">
      <c r="A15" t="s">
        <v>51</v>
      </c>
      <c r="B15" s="23">
        <f>(B7+1)*B14</f>
        <v>1.2474000000000003</v>
      </c>
      <c r="D15" s="22" t="s">
        <v>52</v>
      </c>
    </row>
    <row r="16" spans="1:4" x14ac:dyDescent="0.25">
      <c r="B16" s="23"/>
    </row>
    <row r="17" spans="1:4" x14ac:dyDescent="0.25">
      <c r="A17" t="s">
        <v>53</v>
      </c>
      <c r="B17" s="23">
        <f>GEOMEAN(B9:B11)</f>
        <v>1.076469955893838</v>
      </c>
      <c r="D17" s="22" t="s">
        <v>54</v>
      </c>
    </row>
    <row r="18" spans="1:4" x14ac:dyDescent="0.25">
      <c r="A18" t="s">
        <v>55</v>
      </c>
      <c r="B18" s="23">
        <f>B17-1</f>
        <v>7.6469955893837982E-2</v>
      </c>
      <c r="D18" s="22" t="s">
        <v>56</v>
      </c>
    </row>
    <row r="19" spans="1:4" s="24" customFormat="1" x14ac:dyDescent="0.25">
      <c r="A19" s="24" t="s">
        <v>57</v>
      </c>
      <c r="B19" s="25">
        <f>B17^3</f>
        <v>1.2474000000000003</v>
      </c>
      <c r="D19" s="22" t="s">
        <v>58</v>
      </c>
    </row>
    <row r="20" spans="1:4" x14ac:dyDescent="0.25">
      <c r="B20" s="23">
        <f>GEOMEAN(1.05,1.08,1.1)-1</f>
        <v>7.6469955893837982E-2</v>
      </c>
      <c r="D20" s="22" t="s">
        <v>687</v>
      </c>
    </row>
    <row r="22" spans="1:4" x14ac:dyDescent="0.25">
      <c r="B22">
        <f>1.05^2*1.1^2</f>
        <v>1.3340250000000002</v>
      </c>
      <c r="D22" s="22" t="s">
        <v>387</v>
      </c>
    </row>
    <row r="23" spans="1:4" x14ac:dyDescent="0.25">
      <c r="B23">
        <f>B22^(1/4)-1</f>
        <v>7.4709263010233951E-2</v>
      </c>
      <c r="D23" s="22" t="s">
        <v>388</v>
      </c>
    </row>
    <row r="24" spans="1:4" x14ac:dyDescent="0.25">
      <c r="B24">
        <f>GEOMEAN(1.05,1.05,1.1,1.1)-1</f>
        <v>7.4709263010233951E-2</v>
      </c>
      <c r="D24" s="22" t="s">
        <v>389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7"/>
  <dimension ref="A1:L23"/>
  <sheetViews>
    <sheetView workbookViewId="0"/>
  </sheetViews>
  <sheetFormatPr defaultRowHeight="15" x14ac:dyDescent="0.25"/>
  <cols>
    <col min="1" max="1" width="17.7109375" customWidth="1"/>
  </cols>
  <sheetData>
    <row r="1" spans="1:12" x14ac:dyDescent="0.25">
      <c r="A1" s="1" t="s">
        <v>771</v>
      </c>
    </row>
    <row r="3" spans="1:12" x14ac:dyDescent="0.25">
      <c r="B3" s="295">
        <v>5</v>
      </c>
      <c r="E3" s="295">
        <v>5</v>
      </c>
      <c r="J3" s="19" t="s">
        <v>979</v>
      </c>
      <c r="K3" s="19" t="s">
        <v>980</v>
      </c>
      <c r="L3" s="19" t="s">
        <v>981</v>
      </c>
    </row>
    <row r="4" spans="1:12" x14ac:dyDescent="0.25">
      <c r="B4" s="163">
        <v>2</v>
      </c>
      <c r="E4" s="163">
        <v>2</v>
      </c>
      <c r="J4" s="316">
        <v>5</v>
      </c>
      <c r="K4" s="314">
        <v>5</v>
      </c>
      <c r="L4" s="317">
        <v>5</v>
      </c>
    </row>
    <row r="5" spans="1:12" x14ac:dyDescent="0.25">
      <c r="B5" s="163">
        <v>-1</v>
      </c>
      <c r="E5" s="163">
        <v>-1</v>
      </c>
      <c r="J5" s="166">
        <v>2</v>
      </c>
      <c r="K5" s="8">
        <v>2</v>
      </c>
      <c r="L5" s="167">
        <v>2</v>
      </c>
    </row>
    <row r="6" spans="1:12" x14ac:dyDescent="0.25">
      <c r="B6" s="163">
        <v>3</v>
      </c>
      <c r="E6" s="163">
        <v>3</v>
      </c>
      <c r="J6" s="166">
        <v>-1</v>
      </c>
      <c r="K6" s="8">
        <v>-1</v>
      </c>
      <c r="L6" s="167">
        <v>-1</v>
      </c>
    </row>
    <row r="7" spans="1:12" x14ac:dyDescent="0.25">
      <c r="B7" s="163">
        <v>4</v>
      </c>
      <c r="E7" s="163">
        <v>4</v>
      </c>
      <c r="J7" s="166">
        <v>3</v>
      </c>
      <c r="K7" s="8">
        <v>3</v>
      </c>
      <c r="L7" s="167">
        <v>3</v>
      </c>
    </row>
    <row r="8" spans="1:12" x14ac:dyDescent="0.25">
      <c r="B8" s="163">
        <v>5</v>
      </c>
      <c r="E8" s="163">
        <v>5</v>
      </c>
      <c r="J8" s="166">
        <v>7</v>
      </c>
      <c r="K8" s="8">
        <v>7</v>
      </c>
      <c r="L8" s="167">
        <v>7</v>
      </c>
    </row>
    <row r="9" spans="1:12" x14ac:dyDescent="0.25">
      <c r="B9" s="163">
        <v>0</v>
      </c>
      <c r="E9" s="163">
        <v>0</v>
      </c>
      <c r="J9" s="166">
        <v>5</v>
      </c>
      <c r="K9" s="8">
        <v>5</v>
      </c>
      <c r="L9" s="167">
        <v>8</v>
      </c>
    </row>
    <row r="10" spans="1:12" x14ac:dyDescent="0.25">
      <c r="B10" s="155">
        <v>2</v>
      </c>
      <c r="E10" s="155">
        <v>2</v>
      </c>
      <c r="J10" s="166">
        <v>0</v>
      </c>
      <c r="K10" s="8">
        <v>0</v>
      </c>
      <c r="L10" s="167">
        <v>0</v>
      </c>
    </row>
    <row r="11" spans="1:12" x14ac:dyDescent="0.25">
      <c r="J11" s="148"/>
      <c r="K11" s="276">
        <v>2</v>
      </c>
      <c r="L11" s="153">
        <v>6</v>
      </c>
    </row>
    <row r="12" spans="1:12" x14ac:dyDescent="0.25">
      <c r="A12" t="s">
        <v>766</v>
      </c>
      <c r="B12" s="205">
        <f>AVERAGE(B3:B10)</f>
        <v>2.5</v>
      </c>
      <c r="D12" t="s">
        <v>767</v>
      </c>
      <c r="E12" s="205">
        <f>MEDIAN(E3:E10)</f>
        <v>2.5</v>
      </c>
    </row>
    <row r="13" spans="1:12" x14ac:dyDescent="0.25">
      <c r="I13" t="s">
        <v>360</v>
      </c>
      <c r="J13" s="316" t="e">
        <f t="array" aca="1" ref="J13:L13" ca="1">COUNTCOL(J4:L11)</f>
        <v>#NAME?</v>
      </c>
      <c r="K13" s="314" t="e">
        <f ca="1"/>
        <v>#NAME?</v>
      </c>
      <c r="L13" s="317" t="e">
        <f ca="1"/>
        <v>#NAME?</v>
      </c>
    </row>
    <row r="14" spans="1:12" x14ac:dyDescent="0.25">
      <c r="A14" t="s">
        <v>985</v>
      </c>
      <c r="B14" s="315">
        <f>VAR(B3:B10)</f>
        <v>4.8571428571428568</v>
      </c>
      <c r="D14" t="s">
        <v>92</v>
      </c>
      <c r="E14" s="205" t="e">
        <f ca="1">MAD(E3:E10)</f>
        <v>#NAME?</v>
      </c>
      <c r="I14" t="s">
        <v>63</v>
      </c>
      <c r="J14" s="166" t="e">
        <f t="array" aca="1" ref="J14:L14" ca="1">MEANCOL(J4:L11)</f>
        <v>#NAME?</v>
      </c>
      <c r="K14" s="8" t="e">
        <f ca="1"/>
        <v>#NAME?</v>
      </c>
      <c r="L14" s="167" t="e">
        <f ca="1"/>
        <v>#NAME?</v>
      </c>
    </row>
    <row r="15" spans="1:12" x14ac:dyDescent="0.25">
      <c r="A15" t="s">
        <v>986</v>
      </c>
      <c r="B15" s="155">
        <f>VARP(B3:B10)</f>
        <v>4.25</v>
      </c>
      <c r="I15" t="s">
        <v>427</v>
      </c>
      <c r="J15" s="166" t="e">
        <f t="array" aca="1" ref="J15:L15" ca="1">VARCOL(J4:L11)</f>
        <v>#NAME?</v>
      </c>
      <c r="K15" s="8" t="e">
        <f ca="1"/>
        <v>#NAME?</v>
      </c>
      <c r="L15" s="167" t="e">
        <f ca="1"/>
        <v>#NAME?</v>
      </c>
    </row>
    <row r="16" spans="1:12" x14ac:dyDescent="0.25">
      <c r="D16" t="s">
        <v>774</v>
      </c>
      <c r="E16" s="315">
        <f>MIN(E3:E10)</f>
        <v>-1</v>
      </c>
      <c r="I16" t="s">
        <v>66</v>
      </c>
      <c r="J16" s="148" t="e">
        <f t="array" aca="1" ref="J16:L16" ca="1">STDEVCOL(J4:L11)</f>
        <v>#NAME?</v>
      </c>
      <c r="K16" s="276" t="e">
        <f ca="1"/>
        <v>#NAME?</v>
      </c>
      <c r="L16" s="153" t="e">
        <f ca="1"/>
        <v>#NAME?</v>
      </c>
    </row>
    <row r="17" spans="1:6" x14ac:dyDescent="0.25">
      <c r="A17" t="s">
        <v>987</v>
      </c>
      <c r="B17" s="315">
        <f>STDEV(B3:B10)</f>
        <v>2.2038926600773587</v>
      </c>
      <c r="D17" t="s">
        <v>775</v>
      </c>
      <c r="E17" s="163">
        <f>MAX(E3:E10)</f>
        <v>5</v>
      </c>
    </row>
    <row r="18" spans="1:6" x14ac:dyDescent="0.25">
      <c r="A18" t="s">
        <v>988</v>
      </c>
      <c r="B18" s="155">
        <f>STDEVP(B3:B10)</f>
        <v>2.0615528128088303</v>
      </c>
      <c r="D18" t="s">
        <v>776</v>
      </c>
      <c r="E18" s="155" t="e">
        <f ca="1">RNG(E3:E10)</f>
        <v>#NAME?</v>
      </c>
    </row>
    <row r="20" spans="1:6" x14ac:dyDescent="0.25">
      <c r="A20" t="s">
        <v>772</v>
      </c>
      <c r="B20" s="205">
        <f>DEVSQ(B3:B10)</f>
        <v>34</v>
      </c>
      <c r="E20" s="19" t="s">
        <v>821</v>
      </c>
      <c r="F20" s="19" t="s">
        <v>822</v>
      </c>
    </row>
    <row r="21" spans="1:6" x14ac:dyDescent="0.25">
      <c r="D21" t="s">
        <v>148</v>
      </c>
      <c r="E21" s="316">
        <f>QUARTILE(E3:E10,1)</f>
        <v>1.5</v>
      </c>
      <c r="F21" s="317">
        <f>_xlfn.QUARTILE.EXC(E3:E10,1)</f>
        <v>0.5</v>
      </c>
    </row>
    <row r="22" spans="1:6" x14ac:dyDescent="0.25">
      <c r="A22" t="s">
        <v>773</v>
      </c>
      <c r="B22" s="205">
        <f>AVEDEV(B3:B10)</f>
        <v>1.75</v>
      </c>
      <c r="D22" t="s">
        <v>421</v>
      </c>
      <c r="E22" s="166">
        <f>QUARTILE(E3:E10,3)</f>
        <v>4.25</v>
      </c>
      <c r="F22" s="167">
        <f>_xlfn.QUARTILE.EXC(E3:E10,3)</f>
        <v>4.75</v>
      </c>
    </row>
    <row r="23" spans="1:6" x14ac:dyDescent="0.25">
      <c r="D23" t="s">
        <v>93</v>
      </c>
      <c r="E23" s="148" t="e">
        <f ca="1">IQR(E3:E10)</f>
        <v>#NAME?</v>
      </c>
      <c r="F23" s="153" t="e">
        <f ca="1">IQR(E3:E10,TRUE)</f>
        <v>#NAME?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15"/>
  <sheetViews>
    <sheetView workbookViewId="0"/>
  </sheetViews>
  <sheetFormatPr defaultRowHeight="15" x14ac:dyDescent="0.25"/>
  <cols>
    <col min="1" max="1" width="7.5703125" customWidth="1"/>
    <col min="2" max="4" width="9.5703125" customWidth="1"/>
    <col min="5" max="5" width="3.42578125" customWidth="1"/>
    <col min="6" max="6" width="9.42578125" customWidth="1"/>
  </cols>
  <sheetData>
    <row r="1" spans="1:6" x14ac:dyDescent="0.25">
      <c r="A1" s="1" t="s">
        <v>59</v>
      </c>
    </row>
    <row r="3" spans="1:6" x14ac:dyDescent="0.25">
      <c r="B3" s="132" t="s">
        <v>60</v>
      </c>
      <c r="C3" s="132" t="s">
        <v>61</v>
      </c>
      <c r="F3" s="132" t="s">
        <v>62</v>
      </c>
    </row>
    <row r="4" spans="1:6" x14ac:dyDescent="0.25">
      <c r="B4" s="134">
        <v>3</v>
      </c>
      <c r="C4" s="135">
        <v>6</v>
      </c>
      <c r="F4" s="136">
        <v>3</v>
      </c>
    </row>
    <row r="5" spans="1:6" x14ac:dyDescent="0.25">
      <c r="B5" s="127">
        <v>4</v>
      </c>
      <c r="C5" s="70">
        <v>1</v>
      </c>
      <c r="F5" s="131">
        <v>4</v>
      </c>
    </row>
    <row r="6" spans="1:6" x14ac:dyDescent="0.25">
      <c r="B6" s="127">
        <v>6</v>
      </c>
      <c r="C6" s="70">
        <v>5</v>
      </c>
      <c r="F6" s="131">
        <v>6</v>
      </c>
    </row>
    <row r="7" spans="1:6" x14ac:dyDescent="0.25">
      <c r="B7" s="71">
        <v>7</v>
      </c>
      <c r="C7" s="72"/>
      <c r="F7" s="131">
        <v>7</v>
      </c>
    </row>
    <row r="8" spans="1:6" x14ac:dyDescent="0.25">
      <c r="F8" s="131">
        <v>6</v>
      </c>
    </row>
    <row r="9" spans="1:6" x14ac:dyDescent="0.25">
      <c r="F9" s="131">
        <v>1</v>
      </c>
    </row>
    <row r="10" spans="1:6" x14ac:dyDescent="0.25">
      <c r="F10" s="121">
        <v>5</v>
      </c>
    </row>
    <row r="11" spans="1:6" x14ac:dyDescent="0.25">
      <c r="B11" s="132" t="s">
        <v>60</v>
      </c>
      <c r="C11" s="132" t="s">
        <v>61</v>
      </c>
      <c r="D11" s="132" t="s">
        <v>62</v>
      </c>
    </row>
    <row r="12" spans="1:6" x14ac:dyDescent="0.25">
      <c r="A12" t="s">
        <v>64</v>
      </c>
      <c r="B12" s="137">
        <f>COUNT(B4:B10)</f>
        <v>4</v>
      </c>
      <c r="C12" s="138">
        <f>COUNT(C4:C10)</f>
        <v>3</v>
      </c>
      <c r="D12" s="139">
        <f>F12</f>
        <v>7</v>
      </c>
      <c r="F12" s="140">
        <f>COUNT(F4:F10)</f>
        <v>7</v>
      </c>
    </row>
    <row r="13" spans="1:6" x14ac:dyDescent="0.25">
      <c r="A13" t="s">
        <v>63</v>
      </c>
      <c r="B13" s="129">
        <f>AVERAGE(B4:B10)</f>
        <v>5</v>
      </c>
      <c r="C13" s="8">
        <f>AVERAGE(C4:C10)</f>
        <v>4</v>
      </c>
      <c r="D13" s="9">
        <f>(B13*B12+C13*C12)/(B12+C12)</f>
        <v>4.5714285714285712</v>
      </c>
      <c r="F13" s="128">
        <f>AVERAGE(F4:F10)</f>
        <v>4.5714285714285712</v>
      </c>
    </row>
    <row r="14" spans="1:6" x14ac:dyDescent="0.25">
      <c r="A14" t="s">
        <v>65</v>
      </c>
      <c r="B14" s="129">
        <f>VAR(B4:B10)</f>
        <v>3.3333333333333335</v>
      </c>
      <c r="C14" s="8">
        <f>VAR(C4:C10)</f>
        <v>7</v>
      </c>
      <c r="D14" s="9">
        <f>((B12-1)*B14+(C12-1)*C14)/(B12+C12-1)+B12*C12*(B13-C13)^2/((B12+C12)*(B12+C12-1))</f>
        <v>4.2857142857142856</v>
      </c>
      <c r="F14" s="128">
        <f>VAR(F4:F10)</f>
        <v>4.2857142857142874</v>
      </c>
    </row>
    <row r="15" spans="1:6" x14ac:dyDescent="0.25">
      <c r="A15" t="s">
        <v>66</v>
      </c>
      <c r="B15" s="10">
        <f>STDEV(B4:B10)</f>
        <v>1.8257418583505538</v>
      </c>
      <c r="C15" s="11">
        <f>STDEV(C4:C10)</f>
        <v>2.6457513110645907</v>
      </c>
      <c r="D15" s="12">
        <f>SQRT(D14)</f>
        <v>2.0701966780270626</v>
      </c>
      <c r="F15" s="117">
        <f>STDEV(F4:F10)</f>
        <v>2.0701966780270631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/>
  <dimension ref="A1:I9"/>
  <sheetViews>
    <sheetView workbookViewId="0"/>
  </sheetViews>
  <sheetFormatPr defaultRowHeight="15" x14ac:dyDescent="0.25"/>
  <cols>
    <col min="2" max="2" width="5.5703125" customWidth="1"/>
    <col min="3" max="4" width="8.140625" customWidth="1"/>
    <col min="5" max="5" width="3.28515625" customWidth="1"/>
  </cols>
  <sheetData>
    <row r="1" spans="1:9" x14ac:dyDescent="0.25">
      <c r="A1" s="1" t="s">
        <v>1434</v>
      </c>
    </row>
    <row r="3" spans="1:9" ht="15.75" customHeight="1" x14ac:dyDescent="0.3">
      <c r="B3" s="518" t="s">
        <v>105</v>
      </c>
      <c r="C3" s="518" t="s">
        <v>1436</v>
      </c>
      <c r="D3" s="518" t="s">
        <v>1437</v>
      </c>
      <c r="E3" s="518"/>
      <c r="F3" s="518" t="s">
        <v>28</v>
      </c>
      <c r="G3" s="518" t="s">
        <v>1438</v>
      </c>
      <c r="H3" s="518" t="s">
        <v>1439</v>
      </c>
      <c r="I3" s="518" t="s">
        <v>1435</v>
      </c>
    </row>
    <row r="4" spans="1:9" x14ac:dyDescent="0.25">
      <c r="A4" t="s">
        <v>96</v>
      </c>
      <c r="B4" s="415">
        <v>23</v>
      </c>
      <c r="C4" s="86">
        <v>12</v>
      </c>
      <c r="D4" s="411">
        <v>100</v>
      </c>
      <c r="F4" s="415">
        <f>B4*C4</f>
        <v>276</v>
      </c>
      <c r="G4" s="86">
        <f>B4*C4^2</f>
        <v>3312</v>
      </c>
      <c r="H4" s="86">
        <f>(B4-1)*D4</f>
        <v>2200</v>
      </c>
      <c r="I4" s="411">
        <f>G4+H4</f>
        <v>5512</v>
      </c>
    </row>
    <row r="5" spans="1:9" x14ac:dyDescent="0.25">
      <c r="A5" t="s">
        <v>97</v>
      </c>
      <c r="B5" s="169">
        <v>15</v>
      </c>
      <c r="C5" s="519">
        <v>14</v>
      </c>
      <c r="D5" s="161">
        <v>144</v>
      </c>
      <c r="F5" s="169">
        <f>B5*C5</f>
        <v>210</v>
      </c>
      <c r="G5" s="519">
        <f>B5*C5^2</f>
        <v>2940</v>
      </c>
      <c r="H5" s="519">
        <f>(B5-1)*D5</f>
        <v>2016</v>
      </c>
      <c r="I5" s="161">
        <f>G5+H5</f>
        <v>4956</v>
      </c>
    </row>
    <row r="6" spans="1:9" x14ac:dyDescent="0.25">
      <c r="A6" t="s">
        <v>698</v>
      </c>
      <c r="B6" s="157">
        <v>20</v>
      </c>
      <c r="C6" s="520">
        <v>15</v>
      </c>
      <c r="D6" s="150">
        <v>256</v>
      </c>
      <c r="F6" s="157">
        <f>B6*C6</f>
        <v>300</v>
      </c>
      <c r="G6" s="520">
        <f>B6*C6^2</f>
        <v>4500</v>
      </c>
      <c r="H6" s="520">
        <f>(B6-1)*D6</f>
        <v>4864</v>
      </c>
      <c r="I6" s="150">
        <f>G6+H6</f>
        <v>9364</v>
      </c>
    </row>
    <row r="7" spans="1:9" x14ac:dyDescent="0.25">
      <c r="B7" s="518">
        <f>SUM(B4:B6)</f>
        <v>58</v>
      </c>
      <c r="C7" s="518">
        <f>F7/B7</f>
        <v>13.551724137931034</v>
      </c>
      <c r="D7" s="518">
        <f>(I7-B7*C7^2)/(B7-1)</f>
        <v>161.05868118572295</v>
      </c>
      <c r="F7" s="518">
        <f>SUM(F4:F6)</f>
        <v>786</v>
      </c>
      <c r="G7" s="518">
        <f>SUM(G4:G6)</f>
        <v>10752</v>
      </c>
      <c r="H7" s="518">
        <f>SUM(H4:H6)</f>
        <v>9080</v>
      </c>
      <c r="I7" s="518">
        <f>SUM(I4:I6)</f>
        <v>19832</v>
      </c>
    </row>
    <row r="9" spans="1:9" x14ac:dyDescent="0.25">
      <c r="C9" s="518">
        <f>SUMPRODUCT(B4:B6,C4:C6)/SUM(B4:B6)</f>
        <v>13.551724137931034</v>
      </c>
      <c r="D9" s="518">
        <f>(SUMPRODUCT(B4:B6,C4:C6^2)+SUMPRODUCT(B4:B6-1,D4:D6)-SUM(B4:B6)*C7^2)/(SUM(B4:B6)-1)</f>
        <v>161.05868118572295</v>
      </c>
      <c r="F9" s="518">
        <f>SUMPRODUCT(B4:B6,C4:C6)</f>
        <v>786</v>
      </c>
      <c r="G9" s="518">
        <f>SUMPRODUCT(B4:B6,C4:C6^2)</f>
        <v>10752</v>
      </c>
      <c r="H9" s="518">
        <f>SUMPRODUCT(B4:B6-1,D4:D6)</f>
        <v>9080</v>
      </c>
      <c r="I9" s="518">
        <f>G9+H9</f>
        <v>19832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8"/>
  <dimension ref="A1:G13"/>
  <sheetViews>
    <sheetView workbookViewId="0"/>
  </sheetViews>
  <sheetFormatPr defaultRowHeight="15" x14ac:dyDescent="0.25"/>
  <cols>
    <col min="1" max="1" width="2.7109375" customWidth="1"/>
    <col min="3" max="3" width="3.7109375" customWidth="1"/>
    <col min="6" max="6" width="5.140625" customWidth="1"/>
    <col min="7" max="7" width="41.85546875" customWidth="1"/>
  </cols>
  <sheetData>
    <row r="1" spans="1:7" x14ac:dyDescent="0.25">
      <c r="A1" s="1" t="s">
        <v>361</v>
      </c>
    </row>
    <row r="3" spans="1:7" x14ac:dyDescent="0.25">
      <c r="D3" t="s">
        <v>777</v>
      </c>
      <c r="E3" s="486">
        <f>SKEW(B4:B11)</f>
        <v>-0.42705186492848496</v>
      </c>
      <c r="G3" t="e">
        <f ca="1">FTEXT(E3)</f>
        <v>#NAME?</v>
      </c>
    </row>
    <row r="4" spans="1:7" x14ac:dyDescent="0.25">
      <c r="B4" s="295">
        <v>2</v>
      </c>
      <c r="D4" t="s">
        <v>778</v>
      </c>
      <c r="E4" s="155">
        <f>KURT(B4:B11)</f>
        <v>-0.93979238754325056</v>
      </c>
      <c r="G4" t="e">
        <f ca="1">FTEXT(E4)</f>
        <v>#NAME?</v>
      </c>
    </row>
    <row r="5" spans="1:7" x14ac:dyDescent="0.25">
      <c r="B5" s="163">
        <v>5</v>
      </c>
    </row>
    <row r="6" spans="1:7" x14ac:dyDescent="0.25">
      <c r="B6" s="163">
        <v>-1</v>
      </c>
      <c r="D6" t="s">
        <v>105</v>
      </c>
      <c r="E6" s="205">
        <f>COUNT(B4:B11)</f>
        <v>8</v>
      </c>
      <c r="G6" t="e">
        <f ca="1">FTEXT(E6)</f>
        <v>#NAME?</v>
      </c>
    </row>
    <row r="7" spans="1:7" x14ac:dyDescent="0.25">
      <c r="B7" s="163">
        <v>3</v>
      </c>
    </row>
    <row r="8" spans="1:7" x14ac:dyDescent="0.25">
      <c r="B8" s="163">
        <v>4</v>
      </c>
      <c r="D8" t="s">
        <v>1366</v>
      </c>
      <c r="E8" s="486">
        <f>_xlfn.SKEW.P(B4:B11)</f>
        <v>-0.34240323534541128</v>
      </c>
      <c r="G8" t="e">
        <f ca="1">FTEXT(E8)</f>
        <v>#NAME?</v>
      </c>
    </row>
    <row r="9" spans="1:7" x14ac:dyDescent="0.25">
      <c r="B9" s="163">
        <v>5</v>
      </c>
      <c r="E9" s="163" t="e">
        <f ca="1">SKEWP(B4:B11)</f>
        <v>#NAME?</v>
      </c>
      <c r="G9" t="e">
        <f ca="1">FTEXT(E9)</f>
        <v>#NAME?</v>
      </c>
    </row>
    <row r="10" spans="1:7" x14ac:dyDescent="0.25">
      <c r="B10" s="163">
        <v>0</v>
      </c>
      <c r="E10" s="155">
        <f>E3*(E6-2)/SQRT(E6*(E6-1))</f>
        <v>-0.34240323534541145</v>
      </c>
      <c r="G10" t="e">
        <f ca="1">FTEXT(E10)</f>
        <v>#NAME?</v>
      </c>
    </row>
    <row r="11" spans="1:7" x14ac:dyDescent="0.25">
      <c r="B11" s="155">
        <v>2</v>
      </c>
    </row>
    <row r="12" spans="1:7" x14ac:dyDescent="0.25">
      <c r="D12" t="s">
        <v>1365</v>
      </c>
      <c r="E12" s="486" t="e">
        <f ca="1">KURTP(B4:B11)</f>
        <v>#NAME?</v>
      </c>
      <c r="G12" t="e">
        <f ca="1">FTEXT(E12)</f>
        <v>#NAME?</v>
      </c>
    </row>
    <row r="13" spans="1:7" x14ac:dyDescent="0.25">
      <c r="E13" s="378">
        <f>(KURT(B4:B11)*(E6-2)*(E6-3)/(E6-1)-6)/(E6+1)</f>
        <v>-1.1141868512110717</v>
      </c>
      <c r="G13" t="e">
        <f ca="1">FTEXT(E13)</f>
        <v>#NAME?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9"/>
  <dimension ref="A1:O23"/>
  <sheetViews>
    <sheetView workbookViewId="0"/>
  </sheetViews>
  <sheetFormatPr defaultRowHeight="15" x14ac:dyDescent="0.25"/>
  <cols>
    <col min="5" max="5" width="7.7109375" customWidth="1"/>
  </cols>
  <sheetData>
    <row r="1" spans="1:15" x14ac:dyDescent="0.25">
      <c r="A1" s="1" t="s">
        <v>566</v>
      </c>
      <c r="B1" s="1"/>
      <c r="J1" t="s">
        <v>366</v>
      </c>
      <c r="N1" t="s">
        <v>795</v>
      </c>
    </row>
    <row r="2" spans="1:15" x14ac:dyDescent="0.25">
      <c r="E2" s="19" t="s">
        <v>193</v>
      </c>
      <c r="F2" s="19" t="s">
        <v>70</v>
      </c>
      <c r="G2" s="19" t="s">
        <v>692</v>
      </c>
      <c r="H2" s="296"/>
    </row>
    <row r="3" spans="1:15" x14ac:dyDescent="0.25">
      <c r="C3" s="295">
        <v>4</v>
      </c>
      <c r="E3" s="295">
        <v>4</v>
      </c>
      <c r="F3" s="316">
        <f>RANK(E3,$E$3:$E$7)</f>
        <v>3</v>
      </c>
      <c r="G3" s="317">
        <f>RANK(E3,$E$3:$E$7,1)</f>
        <v>3</v>
      </c>
      <c r="J3" s="296" t="s">
        <v>784</v>
      </c>
      <c r="K3" s="296" t="s">
        <v>783</v>
      </c>
      <c r="N3" s="298" t="s">
        <v>793</v>
      </c>
      <c r="O3" s="298" t="s">
        <v>794</v>
      </c>
    </row>
    <row r="4" spans="1:15" x14ac:dyDescent="0.25">
      <c r="C4" s="163">
        <v>0</v>
      </c>
      <c r="E4" s="163">
        <v>0</v>
      </c>
      <c r="F4" s="166">
        <f>RANK(E4,$E$3:$E$7)</f>
        <v>4</v>
      </c>
      <c r="G4" s="167">
        <f>RANK(E4,$E$3:$E$7,1)</f>
        <v>2</v>
      </c>
      <c r="I4" s="21">
        <v>0</v>
      </c>
      <c r="J4" s="316">
        <f>PERCENTILE($E$3:$E$7,I4)</f>
        <v>-1</v>
      </c>
      <c r="K4" s="317" t="e">
        <f>_xlfn.PERCENTILE.EXC($E$3:$E$7,I4)</f>
        <v>#NUM!</v>
      </c>
      <c r="M4">
        <v>0</v>
      </c>
      <c r="N4" s="268">
        <f>QUARTILE($E$3:$E$7,M4)</f>
        <v>-1</v>
      </c>
      <c r="O4" s="270" t="e">
        <f>_xlfn.QUARTILE.EXC($E$3:$E$7,M4)</f>
        <v>#NUM!</v>
      </c>
    </row>
    <row r="5" spans="1:15" x14ac:dyDescent="0.25">
      <c r="C5" s="163">
        <v>-1</v>
      </c>
      <c r="E5" s="163">
        <v>-1</v>
      </c>
      <c r="F5" s="166">
        <f>RANK(E5,$E$3:$E$7)</f>
        <v>5</v>
      </c>
      <c r="G5" s="167">
        <f>RANK(E5,$E$3:$E$7,1)</f>
        <v>1</v>
      </c>
      <c r="I5" s="367">
        <f>I4+0.25</f>
        <v>0.25</v>
      </c>
      <c r="J5" s="166">
        <f>PERCENTILE($E$3:$E$7,I5)</f>
        <v>0</v>
      </c>
      <c r="K5" s="167">
        <f>_xlfn.PERCENTILE.EXC($E$3:$E$7,I5)</f>
        <v>-0.5</v>
      </c>
      <c r="M5">
        <v>1</v>
      </c>
      <c r="N5" s="166">
        <f>QUARTILE($E$3:$E$7,M5)</f>
        <v>0</v>
      </c>
      <c r="O5" s="167">
        <f>_xlfn.QUARTILE.EXC($E$3:$E$7,M5)</f>
        <v>-0.5</v>
      </c>
    </row>
    <row r="6" spans="1:15" x14ac:dyDescent="0.25">
      <c r="C6" s="163">
        <v>7</v>
      </c>
      <c r="E6" s="163">
        <v>7</v>
      </c>
      <c r="F6" s="166">
        <f>RANK(E6,$E$3:$E$7)</f>
        <v>1</v>
      </c>
      <c r="G6" s="167">
        <f>RANK(E6,$E$3:$E$7,1)</f>
        <v>5</v>
      </c>
      <c r="I6" s="367">
        <f>I5+0.25</f>
        <v>0.5</v>
      </c>
      <c r="J6" s="166">
        <f>PERCENTILE($E$3:$E$7,I6)</f>
        <v>4</v>
      </c>
      <c r="K6" s="167">
        <f>_xlfn.PERCENTILE.EXC($E$3:$E$7,I6)</f>
        <v>4</v>
      </c>
      <c r="M6">
        <v>2</v>
      </c>
      <c r="N6" s="166">
        <f>QUARTILE($E$3:$E$7,M6)</f>
        <v>4</v>
      </c>
      <c r="O6" s="167">
        <f>_xlfn.QUARTILE.EXC($E$3:$E$7,M6)</f>
        <v>4</v>
      </c>
    </row>
    <row r="7" spans="1:15" x14ac:dyDescent="0.25">
      <c r="C7" s="155">
        <v>5</v>
      </c>
      <c r="E7" s="155">
        <v>5</v>
      </c>
      <c r="F7" s="148">
        <f>RANK(E7,$E$3:$E$7)</f>
        <v>2</v>
      </c>
      <c r="G7" s="153">
        <f>RANK(E7,$E$3:$E$7,1)</f>
        <v>4</v>
      </c>
      <c r="I7" s="367">
        <f>I6+0.25</f>
        <v>0.75</v>
      </c>
      <c r="J7" s="166">
        <f>PERCENTILE($E$3:$E$7,I7)</f>
        <v>5</v>
      </c>
      <c r="K7" s="167">
        <f>_xlfn.PERCENTILE.EXC($E$3:$E$7,I7)</f>
        <v>6</v>
      </c>
      <c r="M7">
        <v>3</v>
      </c>
      <c r="N7" s="166">
        <f>QUARTILE($E$3:$E$7,M7)</f>
        <v>5</v>
      </c>
      <c r="O7" s="167">
        <f>_xlfn.QUARTILE.EXC($E$3:$E$7,M7)</f>
        <v>6</v>
      </c>
    </row>
    <row r="8" spans="1:15" x14ac:dyDescent="0.25">
      <c r="I8" s="367">
        <f>I7+0.25</f>
        <v>1</v>
      </c>
      <c r="J8" s="148">
        <f>PERCENTILE($E$3:$E$7,I8)</f>
        <v>7</v>
      </c>
      <c r="K8" s="153" t="e">
        <f>_xlfn.PERCENTILE.EXC($E$3:$E$7,I8)</f>
        <v>#NUM!</v>
      </c>
      <c r="M8">
        <v>4</v>
      </c>
      <c r="N8" s="148">
        <f>QUARTILE($E$3:$E$7,M8)</f>
        <v>7</v>
      </c>
      <c r="O8" s="153" t="e">
        <f>_xlfn.QUARTILE.EXC($E$3:$E$7,M8)</f>
        <v>#NUM!</v>
      </c>
    </row>
    <row r="9" spans="1:15" x14ac:dyDescent="0.25">
      <c r="A9" t="s">
        <v>774</v>
      </c>
      <c r="C9">
        <f>MIN(C3:C7)</f>
        <v>-1</v>
      </c>
      <c r="E9" s="19" t="s">
        <v>193</v>
      </c>
      <c r="F9" s="19" t="s">
        <v>70</v>
      </c>
      <c r="G9" s="19" t="s">
        <v>692</v>
      </c>
      <c r="H9" s="296"/>
      <c r="I9" s="367"/>
    </row>
    <row r="10" spans="1:15" x14ac:dyDescent="0.25">
      <c r="A10" t="s">
        <v>775</v>
      </c>
      <c r="C10">
        <f>MAX(C3:C7)</f>
        <v>7</v>
      </c>
      <c r="E10" s="295">
        <v>1</v>
      </c>
      <c r="F10" s="316" t="e">
        <f ca="1">RANK_AVG(E10,$E$10:$E$14)</f>
        <v>#NAME?</v>
      </c>
      <c r="G10" s="317" t="e">
        <f ca="1">RANK_AVG(E10,$E$10:$E$14,1)</f>
        <v>#NAME?</v>
      </c>
      <c r="I10" s="367">
        <v>0.45</v>
      </c>
      <c r="J10" s="316">
        <f>PERCENTILE($E$3:$E$7,I10)</f>
        <v>3.1999999999999993</v>
      </c>
      <c r="K10" s="317">
        <f>_xlfn.PERCENTILE.EXC($E$3:$E$7,I10)</f>
        <v>2.8000000000000007</v>
      </c>
    </row>
    <row r="11" spans="1:15" x14ac:dyDescent="0.25">
      <c r="B11" s="19" t="s">
        <v>151</v>
      </c>
      <c r="E11" s="163">
        <v>5</v>
      </c>
      <c r="F11" s="166" t="e">
        <f ca="1">RANK_AVG(E11,$E$10:$E$14)</f>
        <v>#NAME?</v>
      </c>
      <c r="G11" s="167" t="e">
        <f ca="1">RANK_AVG(E11,$E$10:$E$14,1)</f>
        <v>#NAME?</v>
      </c>
      <c r="I11" s="367">
        <v>0.8</v>
      </c>
      <c r="J11" s="148">
        <f>PERCENTILE($E$3:$E$7,I11)</f>
        <v>5.4</v>
      </c>
      <c r="K11" s="153">
        <f>_xlfn.PERCENTILE.EXC($E$3:$E$7,I11)</f>
        <v>6.6000000000000014</v>
      </c>
    </row>
    <row r="12" spans="1:15" x14ac:dyDescent="0.25">
      <c r="A12" t="s">
        <v>779</v>
      </c>
      <c r="B12">
        <v>1</v>
      </c>
      <c r="C12">
        <f>SMALL($C$3:$C$7,B12)</f>
        <v>-1</v>
      </c>
      <c r="E12" s="163">
        <v>5</v>
      </c>
      <c r="F12" s="166" t="e">
        <f ca="1">RANK_AVG(E12,$E$10:$E$14)</f>
        <v>#NAME?</v>
      </c>
      <c r="G12" s="167" t="e">
        <f ca="1">RANK_AVG(E12,$E$10:$E$14,1)</f>
        <v>#NAME?</v>
      </c>
    </row>
    <row r="13" spans="1:15" x14ac:dyDescent="0.25">
      <c r="B13">
        <f>B12+1</f>
        <v>2</v>
      </c>
      <c r="C13">
        <f>SMALL($C$3:$C$7,B13)</f>
        <v>0</v>
      </c>
      <c r="E13" s="163">
        <v>0</v>
      </c>
      <c r="F13" s="166" t="e">
        <f ca="1">RANK_AVG(E13,$E$10:$E$14)</f>
        <v>#NAME?</v>
      </c>
      <c r="G13" s="167" t="e">
        <f ca="1">RANK_AVG(E13,$E$10:$E$14,1)</f>
        <v>#NAME?</v>
      </c>
    </row>
    <row r="14" spans="1:15" x14ac:dyDescent="0.25">
      <c r="B14">
        <f>B13+1</f>
        <v>3</v>
      </c>
      <c r="C14">
        <f>SMALL($C$3:$C$7,B14)</f>
        <v>4</v>
      </c>
      <c r="E14" s="155">
        <v>8</v>
      </c>
      <c r="F14" s="148" t="e">
        <f ca="1">RANK_AVG(E14,$E$10:$E$14)</f>
        <v>#NAME?</v>
      </c>
      <c r="G14" s="153" t="e">
        <f ca="1">RANK_AVG(E14,$E$10:$E$14,1)</f>
        <v>#NAME?</v>
      </c>
      <c r="J14" t="s">
        <v>1249</v>
      </c>
    </row>
    <row r="15" spans="1:15" x14ac:dyDescent="0.25">
      <c r="B15">
        <f>B14+1</f>
        <v>4</v>
      </c>
      <c r="C15">
        <f>SMALL($C$3:$C$7,B15)</f>
        <v>5</v>
      </c>
    </row>
    <row r="16" spans="1:15" x14ac:dyDescent="0.25">
      <c r="B16">
        <f>B15+1</f>
        <v>5</v>
      </c>
      <c r="C16">
        <f>SMALL($C$3:$C$7,B16)</f>
        <v>7</v>
      </c>
      <c r="E16" s="19" t="s">
        <v>193</v>
      </c>
      <c r="F16" s="19" t="s">
        <v>70</v>
      </c>
      <c r="G16" s="19" t="s">
        <v>692</v>
      </c>
      <c r="H16" s="296"/>
      <c r="J16" s="451" t="s">
        <v>821</v>
      </c>
      <c r="K16" s="451" t="s">
        <v>822</v>
      </c>
    </row>
    <row r="17" spans="1:11" x14ac:dyDescent="0.25">
      <c r="E17" s="295">
        <v>1</v>
      </c>
      <c r="F17" s="365" t="e">
        <f ca="1">RANK_AVG(E17,$E$17:$E$23)</f>
        <v>#NAME?</v>
      </c>
      <c r="G17" s="366" t="e">
        <f ca="1">RANK_AVG(E17,$E$17:$E$23,1)</f>
        <v>#NAME?</v>
      </c>
      <c r="I17">
        <v>5</v>
      </c>
      <c r="J17" s="316">
        <f>PERCENTRANK($C$3:$C$7,I17,5)</f>
        <v>0.75</v>
      </c>
      <c r="K17" s="317">
        <f>_xlfn.PERCENTRANK.EXC($C$3:$C$7,I17,5)</f>
        <v>0.66666000000000003</v>
      </c>
    </row>
    <row r="18" spans="1:11" x14ac:dyDescent="0.25">
      <c r="A18" t="s">
        <v>780</v>
      </c>
      <c r="B18" s="19" t="s">
        <v>151</v>
      </c>
      <c r="E18" s="163">
        <v>5</v>
      </c>
      <c r="F18" s="173" t="e">
        <f ca="1">RANK_AVG(E18,$E$17:$E$23)</f>
        <v>#NAME?</v>
      </c>
      <c r="G18" s="174" t="e">
        <f ca="1">RANK_AVG(E18,$E$17:$E$23,1)</f>
        <v>#NAME?</v>
      </c>
      <c r="I18">
        <v>5.4</v>
      </c>
      <c r="J18" s="166">
        <f>PERCENTRANK($C$3:$C$7,I18,5)</f>
        <v>0.8</v>
      </c>
      <c r="K18" s="167">
        <f>_xlfn.PERCENTRANK.EXC($C$3:$C$7,I18,5)</f>
        <v>0.7</v>
      </c>
    </row>
    <row r="19" spans="1:11" x14ac:dyDescent="0.25">
      <c r="B19">
        <v>1</v>
      </c>
      <c r="C19">
        <f>LARGE($C$3:$C$7,B19)</f>
        <v>7</v>
      </c>
      <c r="E19" s="163">
        <v>5</v>
      </c>
      <c r="F19" s="173" t="e">
        <f ca="1">RANK_AVG(E19,$E$17:$E$23)</f>
        <v>#NAME?</v>
      </c>
      <c r="G19" s="174" t="e">
        <f ca="1">RANK_AVG(E19,$E$17:$E$23,1)</f>
        <v>#NAME?</v>
      </c>
      <c r="I19">
        <v>0.85</v>
      </c>
      <c r="J19" s="148">
        <f>PERCENTRANK($C$3:$C$7,I19,5)</f>
        <v>0.30312</v>
      </c>
      <c r="K19" s="153">
        <f>_xlfn.PERCENTRANK.EXC($C$3:$C$7,I19,5)</f>
        <v>0.36875000000000002</v>
      </c>
    </row>
    <row r="20" spans="1:11" x14ac:dyDescent="0.25">
      <c r="B20">
        <f>B19+1</f>
        <v>2</v>
      </c>
      <c r="C20">
        <f>LARGE($C$3:$C$7,B20)</f>
        <v>5</v>
      </c>
      <c r="E20" s="163">
        <v>0</v>
      </c>
      <c r="F20" s="173" t="e">
        <f ca="1">RANK_AVG(E20,$E$17:$E$23)</f>
        <v>#NAME?</v>
      </c>
      <c r="G20" s="174" t="e">
        <f ca="1">RANK_AVG(E20,$E$17:$E$23,1)</f>
        <v>#NAME?</v>
      </c>
    </row>
    <row r="21" spans="1:11" x14ac:dyDescent="0.25">
      <c r="B21">
        <f>B20+1</f>
        <v>3</v>
      </c>
      <c r="C21">
        <f>LARGE($C$3:$C$7,B21)</f>
        <v>4</v>
      </c>
      <c r="E21" s="163">
        <v>8</v>
      </c>
      <c r="F21" s="173" t="e">
        <f ca="1">RANK_AVG(E21,$E$17:$E$23)</f>
        <v>#NAME?</v>
      </c>
      <c r="G21" s="174" t="e">
        <f ca="1">RANK_AVG(E21,$E$17:$E$23,1)</f>
        <v>#NAME?</v>
      </c>
    </row>
    <row r="22" spans="1:11" x14ac:dyDescent="0.25">
      <c r="B22">
        <f>B21+1</f>
        <v>4</v>
      </c>
      <c r="C22">
        <f>LARGE($C$3:$C$7,B22)</f>
        <v>0</v>
      </c>
      <c r="E22" s="300">
        <v>8</v>
      </c>
      <c r="F22" s="173" t="e">
        <f ca="1">RANK_AVG(E22,$E$17:$E$23)</f>
        <v>#NAME?</v>
      </c>
      <c r="G22" s="174" t="e">
        <f ca="1">RANK_AVG(E22,$E$17:$E$23,1)</f>
        <v>#NAME?</v>
      </c>
    </row>
    <row r="23" spans="1:11" x14ac:dyDescent="0.25">
      <c r="B23">
        <f>B22+1</f>
        <v>5</v>
      </c>
      <c r="C23">
        <f>LARGE($C$3:$C$7,B23)</f>
        <v>-1</v>
      </c>
      <c r="E23" s="301">
        <v>5</v>
      </c>
      <c r="F23" s="175" t="e">
        <f ca="1">RANK_AVG(E23,$E$17:$E$23)</f>
        <v>#NAME?</v>
      </c>
      <c r="G23" s="176" t="e">
        <f ca="1">RANK_AVG(E23,$E$17:$E$23,1)</f>
        <v>#NAME?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C15"/>
  <sheetViews>
    <sheetView topLeftCell="S1" workbookViewId="0">
      <selection activeCell="AC14" sqref="AC14"/>
    </sheetView>
  </sheetViews>
  <sheetFormatPr defaultRowHeight="15" x14ac:dyDescent="0.25"/>
  <cols>
    <col min="2" max="13" width="5" customWidth="1"/>
    <col min="27" max="27" width="5.85546875" customWidth="1"/>
  </cols>
  <sheetData>
    <row r="1" spans="1:29" x14ac:dyDescent="0.25">
      <c r="A1" s="1" t="s">
        <v>67</v>
      </c>
      <c r="O1" t="s">
        <v>781</v>
      </c>
      <c r="T1" t="s">
        <v>782</v>
      </c>
      <c r="Y1" t="s">
        <v>785</v>
      </c>
      <c r="AB1" t="s">
        <v>786</v>
      </c>
    </row>
    <row r="2" spans="1:29" ht="15.75" thickBot="1" x14ac:dyDescent="0.3"/>
    <row r="3" spans="1:29" x14ac:dyDescent="0.25">
      <c r="A3" t="s">
        <v>69</v>
      </c>
      <c r="B3">
        <v>54</v>
      </c>
      <c r="C3">
        <v>67</v>
      </c>
      <c r="D3">
        <v>34</v>
      </c>
      <c r="E3">
        <v>54</v>
      </c>
      <c r="F3">
        <v>94</v>
      </c>
      <c r="G3">
        <v>55</v>
      </c>
      <c r="H3">
        <v>32</v>
      </c>
      <c r="I3">
        <v>45</v>
      </c>
      <c r="J3">
        <v>87</v>
      </c>
      <c r="K3">
        <v>64</v>
      </c>
      <c r="L3">
        <v>39</v>
      </c>
      <c r="M3">
        <v>60</v>
      </c>
      <c r="O3" s="26" t="s">
        <v>68</v>
      </c>
      <c r="P3" s="26" t="s">
        <v>69</v>
      </c>
      <c r="Q3" s="26" t="s">
        <v>70</v>
      </c>
      <c r="R3" s="26" t="s">
        <v>71</v>
      </c>
      <c r="T3" s="297" t="s">
        <v>69</v>
      </c>
      <c r="U3" s="297" t="s">
        <v>70</v>
      </c>
      <c r="V3" s="297" t="s">
        <v>784</v>
      </c>
      <c r="W3" s="297" t="s">
        <v>783</v>
      </c>
      <c r="Y3" s="297" t="s">
        <v>366</v>
      </c>
      <c r="Z3" s="297" t="s">
        <v>128</v>
      </c>
      <c r="AB3" s="297" t="s">
        <v>366</v>
      </c>
      <c r="AC3" s="297" t="s">
        <v>128</v>
      </c>
    </row>
    <row r="4" spans="1:29" x14ac:dyDescent="0.25">
      <c r="O4" s="27">
        <v>5</v>
      </c>
      <c r="P4" s="28">
        <v>94</v>
      </c>
      <c r="Q4" s="27">
        <v>1</v>
      </c>
      <c r="R4" s="29">
        <v>1</v>
      </c>
      <c r="T4" s="28">
        <v>94</v>
      </c>
      <c r="U4" s="27">
        <f t="shared" ref="U4:U15" si="0">RANK(T4,$T$4:$T$15)</f>
        <v>1</v>
      </c>
      <c r="V4" s="29">
        <f t="shared" ref="V4:V15" si="1">PERCENTRANK($T$4:$T$15,T4)</f>
        <v>1</v>
      </c>
      <c r="W4" s="29">
        <f t="shared" ref="W4:W15" si="2">_xlfn.PERCENTRANK.EXC($T$4:$T$15,T4)</f>
        <v>0.92300000000000004</v>
      </c>
      <c r="Y4" s="302">
        <v>0</v>
      </c>
      <c r="Z4" s="28">
        <f>PERCENTILE($B$3:$M$3,Y4)</f>
        <v>32</v>
      </c>
      <c r="AB4" s="302">
        <v>0</v>
      </c>
      <c r="AC4" s="28" t="e">
        <f>_xlfn.PERCENTILE.EXC($B$3:$M$3,AB4)</f>
        <v>#NUM!</v>
      </c>
    </row>
    <row r="5" spans="1:29" x14ac:dyDescent="0.25">
      <c r="O5" s="27">
        <v>9</v>
      </c>
      <c r="P5" s="28">
        <v>87</v>
      </c>
      <c r="Q5" s="27">
        <v>2</v>
      </c>
      <c r="R5" s="29">
        <v>0.90900000000000003</v>
      </c>
      <c r="T5" s="28">
        <v>87</v>
      </c>
      <c r="U5" s="27">
        <f t="shared" si="0"/>
        <v>2</v>
      </c>
      <c r="V5" s="29">
        <f t="shared" si="1"/>
        <v>0.90900000000000003</v>
      </c>
      <c r="W5" s="29">
        <f t="shared" si="2"/>
        <v>0.84599999999999997</v>
      </c>
      <c r="Y5" s="302">
        <f>Y4+0.1</f>
        <v>0.1</v>
      </c>
      <c r="Z5" s="28">
        <f t="shared" ref="Z5:Z14" si="3">PERCENTILE($B$3:$M$3,Y5)</f>
        <v>34.5</v>
      </c>
      <c r="AB5" s="302">
        <f>AB4+0.1</f>
        <v>0.1</v>
      </c>
      <c r="AC5" s="28">
        <f t="shared" ref="AC5:AC14" si="4">_xlfn.PERCENTILE.EXC($B$3:$M$3,AB5)</f>
        <v>32.6</v>
      </c>
    </row>
    <row r="6" spans="1:29" x14ac:dyDescent="0.25">
      <c r="O6" s="27">
        <v>2</v>
      </c>
      <c r="P6" s="28">
        <v>67</v>
      </c>
      <c r="Q6" s="27">
        <v>3</v>
      </c>
      <c r="R6" s="29">
        <v>0.81799999999999995</v>
      </c>
      <c r="T6" s="28">
        <v>67</v>
      </c>
      <c r="U6" s="27">
        <f t="shared" si="0"/>
        <v>3</v>
      </c>
      <c r="V6" s="29">
        <f t="shared" si="1"/>
        <v>0.81799999999999995</v>
      </c>
      <c r="W6" s="29">
        <f t="shared" si="2"/>
        <v>0.76900000000000002</v>
      </c>
      <c r="Y6" s="302">
        <f t="shared" ref="Y6:Y14" si="5">Y5+0.1</f>
        <v>0.2</v>
      </c>
      <c r="Z6" s="28">
        <f t="shared" si="3"/>
        <v>40.200000000000003</v>
      </c>
      <c r="AB6" s="302">
        <f t="shared" ref="AB6:AB14" si="6">AB5+0.1</f>
        <v>0.2</v>
      </c>
      <c r="AC6" s="28">
        <f t="shared" si="4"/>
        <v>37</v>
      </c>
    </row>
    <row r="7" spans="1:29" x14ac:dyDescent="0.25">
      <c r="O7" s="27">
        <v>10</v>
      </c>
      <c r="P7" s="28">
        <v>64</v>
      </c>
      <c r="Q7" s="27">
        <v>4</v>
      </c>
      <c r="R7" s="29">
        <v>0.72699999999999998</v>
      </c>
      <c r="T7" s="28">
        <v>64</v>
      </c>
      <c r="U7" s="27">
        <f t="shared" si="0"/>
        <v>4</v>
      </c>
      <c r="V7" s="29">
        <f t="shared" si="1"/>
        <v>0.72699999999999998</v>
      </c>
      <c r="W7" s="29">
        <f t="shared" si="2"/>
        <v>0.69199999999999995</v>
      </c>
      <c r="Y7" s="302">
        <f t="shared" si="5"/>
        <v>0.30000000000000004</v>
      </c>
      <c r="Z7" s="28">
        <f t="shared" si="3"/>
        <v>47.7</v>
      </c>
      <c r="AB7" s="302">
        <f t="shared" si="6"/>
        <v>0.30000000000000004</v>
      </c>
      <c r="AC7" s="28">
        <f t="shared" si="4"/>
        <v>44.400000000000006</v>
      </c>
    </row>
    <row r="8" spans="1:29" x14ac:dyDescent="0.25">
      <c r="O8" s="27">
        <v>12</v>
      </c>
      <c r="P8" s="28">
        <v>60</v>
      </c>
      <c r="Q8" s="27">
        <v>5</v>
      </c>
      <c r="R8" s="29">
        <v>0.63600000000000001</v>
      </c>
      <c r="T8" s="28">
        <v>60</v>
      </c>
      <c r="U8" s="27">
        <f t="shared" si="0"/>
        <v>5</v>
      </c>
      <c r="V8" s="29">
        <f t="shared" si="1"/>
        <v>0.63600000000000001</v>
      </c>
      <c r="W8" s="29">
        <f t="shared" si="2"/>
        <v>0.61499999999999999</v>
      </c>
      <c r="Y8" s="302">
        <f t="shared" si="5"/>
        <v>0.4</v>
      </c>
      <c r="Z8" s="28">
        <f t="shared" si="3"/>
        <v>54</v>
      </c>
      <c r="AB8" s="302">
        <f t="shared" si="6"/>
        <v>0.4</v>
      </c>
      <c r="AC8" s="28">
        <f t="shared" si="4"/>
        <v>54</v>
      </c>
    </row>
    <row r="9" spans="1:29" x14ac:dyDescent="0.25">
      <c r="O9" s="27">
        <v>6</v>
      </c>
      <c r="P9" s="28">
        <v>55</v>
      </c>
      <c r="Q9" s="27">
        <v>6</v>
      </c>
      <c r="R9" s="29">
        <v>0.54500000000000004</v>
      </c>
      <c r="T9" s="28">
        <v>55</v>
      </c>
      <c r="U9" s="27">
        <f t="shared" si="0"/>
        <v>6</v>
      </c>
      <c r="V9" s="29">
        <f t="shared" si="1"/>
        <v>0.54500000000000004</v>
      </c>
      <c r="W9" s="29">
        <f t="shared" si="2"/>
        <v>0.53800000000000003</v>
      </c>
      <c r="Y9" s="302">
        <f t="shared" si="5"/>
        <v>0.5</v>
      </c>
      <c r="Z9" s="28">
        <f t="shared" si="3"/>
        <v>54.5</v>
      </c>
      <c r="AB9" s="302">
        <f t="shared" si="6"/>
        <v>0.5</v>
      </c>
      <c r="AC9" s="28">
        <f t="shared" si="4"/>
        <v>54.5</v>
      </c>
    </row>
    <row r="10" spans="1:29" x14ac:dyDescent="0.25">
      <c r="O10" s="27">
        <v>1</v>
      </c>
      <c r="P10" s="28">
        <v>54</v>
      </c>
      <c r="Q10" s="27">
        <v>7</v>
      </c>
      <c r="R10" s="29">
        <v>0.36299999999999999</v>
      </c>
      <c r="T10" s="28">
        <v>54</v>
      </c>
      <c r="U10" s="27">
        <f t="shared" si="0"/>
        <v>7</v>
      </c>
      <c r="V10" s="29">
        <f t="shared" si="1"/>
        <v>0.36299999999999999</v>
      </c>
      <c r="W10" s="29">
        <f t="shared" si="2"/>
        <v>0.38400000000000001</v>
      </c>
      <c r="Y10" s="302">
        <f t="shared" si="5"/>
        <v>0.6</v>
      </c>
      <c r="Z10" s="28">
        <f t="shared" si="3"/>
        <v>58</v>
      </c>
      <c r="AB10" s="302">
        <f t="shared" si="6"/>
        <v>0.6</v>
      </c>
      <c r="AC10" s="28">
        <f t="shared" si="4"/>
        <v>59</v>
      </c>
    </row>
    <row r="11" spans="1:29" x14ac:dyDescent="0.25">
      <c r="O11" s="27">
        <v>4</v>
      </c>
      <c r="P11" s="28">
        <v>54</v>
      </c>
      <c r="Q11" s="27">
        <v>7</v>
      </c>
      <c r="R11" s="29">
        <v>0.36299999999999999</v>
      </c>
      <c r="T11" s="28">
        <v>54</v>
      </c>
      <c r="U11" s="27">
        <f t="shared" si="0"/>
        <v>7</v>
      </c>
      <c r="V11" s="29">
        <f t="shared" si="1"/>
        <v>0.36299999999999999</v>
      </c>
      <c r="W11" s="29">
        <f t="shared" si="2"/>
        <v>0.38400000000000001</v>
      </c>
      <c r="Y11" s="302">
        <f t="shared" si="5"/>
        <v>0.7</v>
      </c>
      <c r="Z11" s="28">
        <f t="shared" si="3"/>
        <v>62.8</v>
      </c>
      <c r="AB11" s="302">
        <f t="shared" si="6"/>
        <v>0.7</v>
      </c>
      <c r="AC11" s="28">
        <f t="shared" si="4"/>
        <v>64.3</v>
      </c>
    </row>
    <row r="12" spans="1:29" x14ac:dyDescent="0.25">
      <c r="O12" s="27">
        <v>8</v>
      </c>
      <c r="P12" s="28">
        <v>45</v>
      </c>
      <c r="Q12" s="27">
        <v>9</v>
      </c>
      <c r="R12" s="29">
        <v>0.27200000000000002</v>
      </c>
      <c r="T12" s="28">
        <v>45</v>
      </c>
      <c r="U12" s="27">
        <f t="shared" si="0"/>
        <v>9</v>
      </c>
      <c r="V12" s="29">
        <f t="shared" si="1"/>
        <v>0.27200000000000002</v>
      </c>
      <c r="W12" s="29">
        <f t="shared" si="2"/>
        <v>0.307</v>
      </c>
      <c r="Y12" s="302">
        <f t="shared" si="5"/>
        <v>0.79999999999999993</v>
      </c>
      <c r="Z12" s="28">
        <f t="shared" si="3"/>
        <v>66.399999999999991</v>
      </c>
      <c r="AB12" s="302">
        <f t="shared" si="6"/>
        <v>0.79999999999999993</v>
      </c>
      <c r="AC12" s="28">
        <f t="shared" si="4"/>
        <v>74.999999999999972</v>
      </c>
    </row>
    <row r="13" spans="1:29" x14ac:dyDescent="0.25">
      <c r="O13" s="27">
        <v>11</v>
      </c>
      <c r="P13" s="28">
        <v>39</v>
      </c>
      <c r="Q13" s="27">
        <v>10</v>
      </c>
      <c r="R13" s="29">
        <v>0.18099999999999999</v>
      </c>
      <c r="T13" s="28">
        <v>39</v>
      </c>
      <c r="U13" s="27">
        <f t="shared" si="0"/>
        <v>10</v>
      </c>
      <c r="V13" s="29">
        <f t="shared" si="1"/>
        <v>0.18099999999999999</v>
      </c>
      <c r="W13" s="29">
        <f t="shared" si="2"/>
        <v>0.23</v>
      </c>
      <c r="Y13" s="302">
        <f t="shared" si="5"/>
        <v>0.89999999999999991</v>
      </c>
      <c r="Z13" s="28">
        <f t="shared" si="3"/>
        <v>84.999999999999972</v>
      </c>
      <c r="AB13" s="302">
        <f t="shared" si="6"/>
        <v>0.89999999999999991</v>
      </c>
      <c r="AC13" s="28">
        <f t="shared" si="4"/>
        <v>91.899999999999991</v>
      </c>
    </row>
    <row r="14" spans="1:29" ht="15.75" thickBot="1" x14ac:dyDescent="0.3">
      <c r="O14" s="27">
        <v>3</v>
      </c>
      <c r="P14" s="28">
        <v>34</v>
      </c>
      <c r="Q14" s="27">
        <v>11</v>
      </c>
      <c r="R14" s="29">
        <v>0.09</v>
      </c>
      <c r="T14" s="28">
        <v>34</v>
      </c>
      <c r="U14" s="27">
        <f t="shared" si="0"/>
        <v>11</v>
      </c>
      <c r="V14" s="29">
        <f t="shared" si="1"/>
        <v>0.09</v>
      </c>
      <c r="W14" s="29">
        <f t="shared" si="2"/>
        <v>0.153</v>
      </c>
      <c r="Y14" s="303">
        <f t="shared" si="5"/>
        <v>0.99999999999999989</v>
      </c>
      <c r="Z14" s="31">
        <f t="shared" si="3"/>
        <v>93.999999999999986</v>
      </c>
      <c r="AB14" s="303">
        <f t="shared" si="6"/>
        <v>0.99999999999999989</v>
      </c>
      <c r="AC14" s="31" t="e">
        <f t="shared" si="4"/>
        <v>#NUM!</v>
      </c>
    </row>
    <row r="15" spans="1:29" ht="15.75" thickBot="1" x14ac:dyDescent="0.3">
      <c r="O15" s="30">
        <v>7</v>
      </c>
      <c r="P15" s="31">
        <v>32</v>
      </c>
      <c r="Q15" s="30">
        <v>12</v>
      </c>
      <c r="R15" s="32">
        <v>0</v>
      </c>
      <c r="T15" s="31">
        <v>32</v>
      </c>
      <c r="U15" s="31">
        <f t="shared" si="0"/>
        <v>12</v>
      </c>
      <c r="V15" s="32">
        <f t="shared" si="1"/>
        <v>0</v>
      </c>
      <c r="W15" s="32">
        <f t="shared" si="2"/>
        <v>7.5999999999999998E-2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1"/>
  <sheetViews>
    <sheetView workbookViewId="0"/>
  </sheetViews>
  <sheetFormatPr defaultRowHeight="15" x14ac:dyDescent="0.25"/>
  <sheetData>
    <row r="1" spans="1:4" x14ac:dyDescent="0.25">
      <c r="A1" s="1" t="s">
        <v>1</v>
      </c>
    </row>
    <row r="2" spans="1:4" x14ac:dyDescent="0.25">
      <c r="A2" t="s">
        <v>2</v>
      </c>
    </row>
    <row r="4" spans="1:4" x14ac:dyDescent="0.25">
      <c r="B4" s="3" t="s">
        <v>3</v>
      </c>
      <c r="C4" s="3" t="s">
        <v>4</v>
      </c>
      <c r="D4" s="3" t="s">
        <v>5</v>
      </c>
    </row>
    <row r="5" spans="1:4" x14ac:dyDescent="0.25">
      <c r="A5" s="1" t="s">
        <v>6</v>
      </c>
      <c r="B5" s="4">
        <v>23.5</v>
      </c>
      <c r="C5" s="5">
        <v>12.3</v>
      </c>
      <c r="D5" s="6">
        <v>15</v>
      </c>
    </row>
    <row r="6" spans="1:4" x14ac:dyDescent="0.25">
      <c r="A6" s="1" t="s">
        <v>7</v>
      </c>
      <c r="B6" s="7">
        <v>13.8</v>
      </c>
      <c r="C6" s="8">
        <v>8.1</v>
      </c>
      <c r="D6" s="9">
        <v>5.5</v>
      </c>
    </row>
    <row r="7" spans="1:4" x14ac:dyDescent="0.25">
      <c r="A7" s="1" t="s">
        <v>8</v>
      </c>
      <c r="B7" s="7">
        <v>17.3</v>
      </c>
      <c r="C7" s="8">
        <v>4.5</v>
      </c>
      <c r="D7" s="9">
        <v>6.9</v>
      </c>
    </row>
    <row r="8" spans="1:4" x14ac:dyDescent="0.25">
      <c r="A8" s="1" t="s">
        <v>9</v>
      </c>
      <c r="B8" s="7">
        <v>14.8</v>
      </c>
      <c r="C8" s="8">
        <v>6.8</v>
      </c>
      <c r="D8" s="9">
        <v>2.7</v>
      </c>
    </row>
    <row r="9" spans="1:4" x14ac:dyDescent="0.25">
      <c r="A9" s="1" t="s">
        <v>10</v>
      </c>
      <c r="B9" s="7">
        <v>7.2</v>
      </c>
      <c r="C9" s="8">
        <v>4.2</v>
      </c>
      <c r="D9" s="9">
        <v>1.6</v>
      </c>
    </row>
    <row r="10" spans="1:4" x14ac:dyDescent="0.25">
      <c r="A10" s="1" t="s">
        <v>11</v>
      </c>
      <c r="B10" s="10">
        <v>29.5</v>
      </c>
      <c r="C10" s="11">
        <v>21.4</v>
      </c>
      <c r="D10" s="12">
        <v>11.6</v>
      </c>
    </row>
    <row r="11" spans="1:4" x14ac:dyDescent="0.25">
      <c r="A11" t="s">
        <v>12</v>
      </c>
      <c r="B11">
        <f>SUM(B5:B10)</f>
        <v>106.1</v>
      </c>
      <c r="C11">
        <f>SUM(C5:C10)</f>
        <v>57.3</v>
      </c>
      <c r="D11">
        <f>SUM(D5:D10)</f>
        <v>43.3</v>
      </c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6"/>
  <dimension ref="A1:I15"/>
  <sheetViews>
    <sheetView workbookViewId="0"/>
  </sheetViews>
  <sheetFormatPr defaultRowHeight="15" x14ac:dyDescent="0.25"/>
  <cols>
    <col min="3" max="3" width="4.42578125" customWidth="1"/>
    <col min="7" max="7" width="4.28515625" customWidth="1"/>
  </cols>
  <sheetData>
    <row r="1" spans="1:9" x14ac:dyDescent="0.25">
      <c r="A1" s="1" t="s">
        <v>1464</v>
      </c>
    </row>
    <row r="3" spans="1:9" x14ac:dyDescent="0.25">
      <c r="A3" s="492" t="s">
        <v>1465</v>
      </c>
      <c r="B3" s="492" t="s">
        <v>1466</v>
      </c>
      <c r="D3" s="492" t="s">
        <v>1467</v>
      </c>
      <c r="E3" s="492" t="s">
        <v>1468</v>
      </c>
      <c r="F3" s="492" t="s">
        <v>1469</v>
      </c>
    </row>
    <row r="4" spans="1:9" x14ac:dyDescent="0.25">
      <c r="A4" s="118">
        <v>34.1</v>
      </c>
      <c r="B4" s="118">
        <v>21.7</v>
      </c>
      <c r="D4" s="118">
        <f t="shared" ref="D4:D13" si="0">A4-B4</f>
        <v>12.400000000000002</v>
      </c>
      <c r="E4">
        <f>_xlfn.RANK.AVG(D4,D$4:D$13)</f>
        <v>1</v>
      </c>
      <c r="F4" t="e">
        <f ca="1">RANK_AVG(D4,D$4:D$13)</f>
        <v>#NAME?</v>
      </c>
      <c r="H4" t="e">
        <f t="array" aca="1" ref="H4:H13" ca="1">RANK_AVG(D4:D13,D4:D13)</f>
        <v>#NAME?</v>
      </c>
      <c r="I4" t="e">
        <f ca="1">RANK_AVG(D4,A$4:A$13-B$4:B$13)</f>
        <v>#NAME?</v>
      </c>
    </row>
    <row r="5" spans="1:9" x14ac:dyDescent="0.25">
      <c r="A5" s="118">
        <v>36.700000000000003</v>
      </c>
      <c r="B5" s="118">
        <v>31.2</v>
      </c>
      <c r="D5" s="118">
        <f t="shared" si="0"/>
        <v>5.5000000000000036</v>
      </c>
      <c r="E5">
        <f t="shared" ref="E5:E13" si="1">_xlfn.RANK.AVG(D5,D$4:D$13)</f>
        <v>5</v>
      </c>
      <c r="F5" t="e">
        <f ca="1">RANK_AVG(D5,D$4:D$13)</f>
        <v>#NAME?</v>
      </c>
      <c r="H5" t="e">
        <f ca="1"/>
        <v>#NAME?</v>
      </c>
      <c r="I5" t="e">
        <f t="array" aca="1" ref="I5" ca="1">RANK_AVG(D5,A$4:A$13-B$4:B$13)</f>
        <v>#NAME?</v>
      </c>
    </row>
    <row r="6" spans="1:9" x14ac:dyDescent="0.25">
      <c r="A6" s="118">
        <v>12.1</v>
      </c>
      <c r="B6" s="118">
        <v>15.9</v>
      </c>
      <c r="D6" s="118">
        <f t="shared" si="0"/>
        <v>-3.8000000000000007</v>
      </c>
      <c r="E6">
        <f t="shared" si="1"/>
        <v>10</v>
      </c>
      <c r="F6" t="e">
        <f ca="1">RANK_AVG(D6,D$4:D$13)</f>
        <v>#NAME?</v>
      </c>
      <c r="H6" t="e">
        <f ca="1"/>
        <v>#NAME?</v>
      </c>
      <c r="I6" t="e">
        <f t="array" aca="1" ref="I6" ca="1">RANK_AVG(D6,A$4:A$13-B$4:B$13)</f>
        <v>#NAME?</v>
      </c>
    </row>
    <row r="7" spans="1:9" x14ac:dyDescent="0.25">
      <c r="A7" s="118">
        <v>15.8</v>
      </c>
      <c r="B7" s="118">
        <v>11.3</v>
      </c>
      <c r="D7" s="118">
        <f t="shared" si="0"/>
        <v>4.5</v>
      </c>
      <c r="E7">
        <f t="shared" si="1"/>
        <v>8</v>
      </c>
      <c r="F7" t="e">
        <f ca="1">RANK_AVG(D7,D$4:D$13)</f>
        <v>#NAME?</v>
      </c>
      <c r="H7" t="e">
        <f ca="1"/>
        <v>#NAME?</v>
      </c>
      <c r="I7" t="e">
        <f t="array" aca="1" ref="I7" ca="1">RANK_AVG(D7,A$4:A$13-B$4:B$13)</f>
        <v>#NAME?</v>
      </c>
    </row>
    <row r="8" spans="1:9" x14ac:dyDescent="0.25">
      <c r="A8" s="118">
        <v>22.9</v>
      </c>
      <c r="B8" s="118">
        <v>17.399999999999999</v>
      </c>
      <c r="D8" s="118">
        <f t="shared" si="0"/>
        <v>5.5</v>
      </c>
      <c r="E8">
        <f t="shared" si="1"/>
        <v>6.5</v>
      </c>
      <c r="F8" t="e">
        <f ca="1">RANK_AVG(D8,D$4:D$13)</f>
        <v>#NAME?</v>
      </c>
      <c r="H8" t="e">
        <f ca="1"/>
        <v>#NAME?</v>
      </c>
      <c r="I8" t="e">
        <f t="array" aca="1" ref="I8" ca="1">RANK_AVG(D8,A$4:A$13-B$4:B$13)</f>
        <v>#NAME?</v>
      </c>
    </row>
    <row r="9" spans="1:9" x14ac:dyDescent="0.25">
      <c r="A9" s="118">
        <v>40</v>
      </c>
      <c r="B9" s="118">
        <v>30.4</v>
      </c>
      <c r="D9" s="118">
        <f t="shared" si="0"/>
        <v>9.6000000000000014</v>
      </c>
      <c r="E9">
        <f t="shared" si="1"/>
        <v>2</v>
      </c>
      <c r="F9" t="e">
        <f ca="1">RANK_AVG(D9,D$4:D$13)</f>
        <v>#NAME?</v>
      </c>
      <c r="H9" t="e">
        <f ca="1"/>
        <v>#NAME?</v>
      </c>
      <c r="I9" t="e">
        <f t="array" aca="1" ref="I9" ca="1">RANK_AVG(D9,A$4:A$13-B$4:B$13)</f>
        <v>#NAME?</v>
      </c>
    </row>
    <row r="10" spans="1:9" x14ac:dyDescent="0.25">
      <c r="A10" s="118">
        <v>22.9</v>
      </c>
      <c r="B10" s="118">
        <v>20.5</v>
      </c>
      <c r="D10" s="118">
        <f t="shared" si="0"/>
        <v>2.3999999999999986</v>
      </c>
      <c r="E10">
        <f t="shared" si="1"/>
        <v>9</v>
      </c>
      <c r="F10" t="e">
        <f ca="1">RANK_AVG(D10,D$4:D$13)</f>
        <v>#NAME?</v>
      </c>
      <c r="H10" t="e">
        <f ca="1"/>
        <v>#NAME?</v>
      </c>
      <c r="I10" t="e">
        <f t="array" aca="1" ref="I10" ca="1">RANK_AVG(D10,A$4:A$13-B$4:B$13)</f>
        <v>#NAME?</v>
      </c>
    </row>
    <row r="11" spans="1:9" x14ac:dyDescent="0.25">
      <c r="A11" s="118">
        <v>19.5</v>
      </c>
      <c r="B11" s="118">
        <v>10.199999999999999</v>
      </c>
      <c r="D11" s="118">
        <f t="shared" si="0"/>
        <v>9.3000000000000007</v>
      </c>
      <c r="E11">
        <f t="shared" si="1"/>
        <v>3</v>
      </c>
      <c r="F11" t="e">
        <f ca="1">RANK_AVG(D11,D$4:D$13)</f>
        <v>#NAME?</v>
      </c>
      <c r="H11" t="e">
        <f ca="1"/>
        <v>#NAME?</v>
      </c>
      <c r="I11" t="e">
        <f t="array" aca="1" ref="I11" ca="1">RANK_AVG(D11,A$4:A$13-B$4:B$13)</f>
        <v>#NAME?</v>
      </c>
    </row>
    <row r="12" spans="1:9" x14ac:dyDescent="0.25">
      <c r="A12" s="118">
        <v>28.8</v>
      </c>
      <c r="B12" s="118">
        <v>20</v>
      </c>
      <c r="D12" s="118">
        <f t="shared" si="0"/>
        <v>8.8000000000000007</v>
      </c>
      <c r="E12">
        <f t="shared" si="1"/>
        <v>4</v>
      </c>
      <c r="F12" t="e">
        <f ca="1">RANK_AVG(D12,D$4:D$13)</f>
        <v>#NAME?</v>
      </c>
      <c r="H12" t="e">
        <f ca="1"/>
        <v>#NAME?</v>
      </c>
      <c r="I12" t="e">
        <f t="array" aca="1" ref="I12" ca="1">RANK_AVG(D12,A$4:A$13-B$4:B$13)</f>
        <v>#NAME?</v>
      </c>
    </row>
    <row r="13" spans="1:9" x14ac:dyDescent="0.25">
      <c r="A13" s="525">
        <v>30.6</v>
      </c>
      <c r="B13" s="525">
        <v>25.1</v>
      </c>
      <c r="D13" s="525">
        <f t="shared" si="0"/>
        <v>5.5</v>
      </c>
      <c r="E13" s="276">
        <f t="shared" si="1"/>
        <v>6.5</v>
      </c>
      <c r="F13" s="276" t="e">
        <f ca="1">RANK_AVG(D13,D$4:D$13)</f>
        <v>#NAME?</v>
      </c>
      <c r="H13" t="e">
        <f ca="1"/>
        <v>#NAME?</v>
      </c>
      <c r="I13" t="e">
        <f t="array" aca="1" ref="I13" ca="1">RANK_AVG(D13,A$4:A$13-B$4:B$13)</f>
        <v>#NAME?</v>
      </c>
    </row>
    <row r="15" spans="1:9" x14ac:dyDescent="0.25">
      <c r="D15" s="524">
        <v>12.4</v>
      </c>
      <c r="E15" t="e">
        <f>_xlfn.RANK.AVG(D15,D$4:D$13)</f>
        <v>#N/A</v>
      </c>
      <c r="F15" t="e">
        <f ca="1">RANK_AVG(D15,D$4:D$13)</f>
        <v>#NAME?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P22"/>
  <sheetViews>
    <sheetView workbookViewId="0"/>
  </sheetViews>
  <sheetFormatPr defaultRowHeight="15" x14ac:dyDescent="0.25"/>
  <cols>
    <col min="2" max="2" width="6.28515625" customWidth="1"/>
    <col min="3" max="3" width="20.5703125" customWidth="1"/>
    <col min="4" max="4" width="8.140625" customWidth="1"/>
    <col min="6" max="6" width="18.140625" customWidth="1"/>
    <col min="9" max="9" width="18.140625" customWidth="1"/>
    <col min="11" max="11" width="17.5703125" customWidth="1"/>
  </cols>
  <sheetData>
    <row r="1" spans="1:12" x14ac:dyDescent="0.25">
      <c r="A1" s="1" t="s">
        <v>72</v>
      </c>
    </row>
    <row r="2" spans="1:12" ht="15.75" thickBot="1" x14ac:dyDescent="0.3">
      <c r="K2" s="1" t="s">
        <v>1234</v>
      </c>
    </row>
    <row r="3" spans="1:12" x14ac:dyDescent="0.25">
      <c r="A3" s="33" t="s">
        <v>69</v>
      </c>
      <c r="C3" s="34" t="s">
        <v>69</v>
      </c>
      <c r="D3" s="34"/>
      <c r="F3" s="1" t="s">
        <v>73</v>
      </c>
      <c r="I3" s="1" t="s">
        <v>74</v>
      </c>
    </row>
    <row r="4" spans="1:12" x14ac:dyDescent="0.25">
      <c r="A4" s="33">
        <v>23</v>
      </c>
      <c r="C4" s="27"/>
      <c r="D4" s="27"/>
      <c r="K4" s="35"/>
      <c r="L4" s="35" t="s">
        <v>69</v>
      </c>
    </row>
    <row r="5" spans="1:12" ht="18" x14ac:dyDescent="0.35">
      <c r="A5" s="33">
        <v>38</v>
      </c>
      <c r="C5" s="27" t="s">
        <v>75</v>
      </c>
      <c r="D5" s="27">
        <v>30.818181818181817</v>
      </c>
      <c r="F5" s="27" t="s">
        <v>75</v>
      </c>
      <c r="G5">
        <f>AVERAGE(A4:A14)</f>
        <v>30.818181818181817</v>
      </c>
      <c r="I5" s="33" t="s">
        <v>569</v>
      </c>
      <c r="K5" t="s">
        <v>75</v>
      </c>
      <c r="L5">
        <f>AVERAGE(A4:A14)</f>
        <v>30.818181818181817</v>
      </c>
    </row>
    <row r="6" spans="1:12" x14ac:dyDescent="0.25">
      <c r="A6" s="33">
        <v>45</v>
      </c>
      <c r="C6" s="27" t="s">
        <v>76</v>
      </c>
      <c r="D6" s="27">
        <v>4.931933387845862</v>
      </c>
      <c r="F6" s="27" t="s">
        <v>76</v>
      </c>
      <c r="G6">
        <f>G9/SQRT(G17)</f>
        <v>4.931933387845862</v>
      </c>
      <c r="I6" s="33">
        <f>ABS(A4-$G$7)</f>
        <v>0</v>
      </c>
      <c r="K6" t="s">
        <v>76</v>
      </c>
      <c r="L6">
        <f>STDEV(A4:A14)/SQRT(COUNT(A4:A14))</f>
        <v>4.931933387845862</v>
      </c>
    </row>
    <row r="7" spans="1:12" x14ac:dyDescent="0.25">
      <c r="A7" s="33">
        <v>21</v>
      </c>
      <c r="C7" s="27" t="s">
        <v>77</v>
      </c>
      <c r="D7" s="27">
        <v>23</v>
      </c>
      <c r="F7" s="27" t="s">
        <v>77</v>
      </c>
      <c r="G7">
        <f>MEDIAN(A4:A14)</f>
        <v>23</v>
      </c>
      <c r="I7" s="239">
        <f t="shared" ref="I7:I16" si="0">ABS(A5-$G$7)</f>
        <v>15</v>
      </c>
      <c r="K7" t="s">
        <v>77</v>
      </c>
      <c r="L7">
        <f>MEDIAN(A4:A14)</f>
        <v>23</v>
      </c>
    </row>
    <row r="8" spans="1:12" x14ac:dyDescent="0.25">
      <c r="A8" s="33">
        <v>17</v>
      </c>
      <c r="C8" s="27" t="s">
        <v>78</v>
      </c>
      <c r="D8" s="27">
        <v>21</v>
      </c>
      <c r="F8" s="27" t="s">
        <v>78</v>
      </c>
      <c r="G8">
        <f>MODE(A4:A14)</f>
        <v>21</v>
      </c>
      <c r="I8" s="239">
        <f t="shared" si="0"/>
        <v>22</v>
      </c>
      <c r="K8" t="s">
        <v>78</v>
      </c>
      <c r="L8">
        <f>MODE(A4:A14)</f>
        <v>21</v>
      </c>
    </row>
    <row r="9" spans="1:12" x14ac:dyDescent="0.25">
      <c r="A9" s="33">
        <v>21</v>
      </c>
      <c r="C9" s="27" t="s">
        <v>79</v>
      </c>
      <c r="D9" s="27">
        <v>16.357372538511079</v>
      </c>
      <c r="F9" s="27" t="s">
        <v>79</v>
      </c>
      <c r="G9">
        <f>STDEV(A4:A14)</f>
        <v>16.357372538511079</v>
      </c>
      <c r="I9" s="239">
        <f t="shared" si="0"/>
        <v>2</v>
      </c>
      <c r="K9" t="s">
        <v>79</v>
      </c>
      <c r="L9">
        <f>STDEV(A4:A14)</f>
        <v>16.357372538511079</v>
      </c>
    </row>
    <row r="10" spans="1:12" x14ac:dyDescent="0.25">
      <c r="A10" s="33">
        <v>8</v>
      </c>
      <c r="C10" s="27" t="s">
        <v>80</v>
      </c>
      <c r="D10" s="27">
        <v>267.56363636363642</v>
      </c>
      <c r="F10" s="27" t="s">
        <v>80</v>
      </c>
      <c r="G10">
        <f>VAR(A4:A14)</f>
        <v>267.56363636363642</v>
      </c>
      <c r="I10" s="239">
        <f t="shared" si="0"/>
        <v>6</v>
      </c>
      <c r="K10" t="s">
        <v>80</v>
      </c>
      <c r="L10">
        <f>VAR(A4:A14)</f>
        <v>267.56363636363642</v>
      </c>
    </row>
    <row r="11" spans="1:12" x14ac:dyDescent="0.25">
      <c r="A11" s="33">
        <v>61</v>
      </c>
      <c r="C11" s="27" t="s">
        <v>81</v>
      </c>
      <c r="D11" s="27">
        <v>-0.54713109260868453</v>
      </c>
      <c r="F11" s="27" t="s">
        <v>81</v>
      </c>
      <c r="G11">
        <f>KURT(A4:A14)</f>
        <v>-0.54713109260868453</v>
      </c>
      <c r="I11" s="239">
        <f t="shared" si="0"/>
        <v>2</v>
      </c>
      <c r="K11" t="s">
        <v>81</v>
      </c>
      <c r="L11">
        <f>KURT(A4:A14)</f>
        <v>-0.54713109260868453</v>
      </c>
    </row>
    <row r="12" spans="1:12" x14ac:dyDescent="0.25">
      <c r="A12" s="33">
        <v>21</v>
      </c>
      <c r="C12" s="27" t="s">
        <v>82</v>
      </c>
      <c r="D12" s="27">
        <v>0.62513875079366366</v>
      </c>
      <c r="F12" s="27" t="s">
        <v>82</v>
      </c>
      <c r="G12">
        <f>SKEW(A4:A14)</f>
        <v>0.62513875079366366</v>
      </c>
      <c r="I12" s="239">
        <f t="shared" si="0"/>
        <v>15</v>
      </c>
      <c r="K12" t="s">
        <v>82</v>
      </c>
      <c r="L12">
        <f>SKEW(A4:A14)</f>
        <v>0.62513875079366366</v>
      </c>
    </row>
    <row r="13" spans="1:12" x14ac:dyDescent="0.25">
      <c r="A13" s="33">
        <v>52</v>
      </c>
      <c r="C13" s="27" t="s">
        <v>83</v>
      </c>
      <c r="D13" s="27">
        <v>53</v>
      </c>
      <c r="F13" s="27" t="s">
        <v>83</v>
      </c>
      <c r="G13">
        <f>G15-G14</f>
        <v>53</v>
      </c>
      <c r="I13" s="239">
        <f t="shared" si="0"/>
        <v>38</v>
      </c>
      <c r="K13" t="s">
        <v>83</v>
      </c>
      <c r="L13">
        <f>L15-L14</f>
        <v>53</v>
      </c>
    </row>
    <row r="14" spans="1:12" x14ac:dyDescent="0.25">
      <c r="A14" s="33">
        <v>32</v>
      </c>
      <c r="C14" s="27" t="s">
        <v>84</v>
      </c>
      <c r="D14" s="27">
        <v>8</v>
      </c>
      <c r="F14" s="27" t="s">
        <v>84</v>
      </c>
      <c r="G14">
        <f>MIN(A4:A14)</f>
        <v>8</v>
      </c>
      <c r="I14" s="239">
        <f t="shared" si="0"/>
        <v>2</v>
      </c>
      <c r="K14" t="s">
        <v>84</v>
      </c>
      <c r="L14">
        <f>MIN(A4:A14)</f>
        <v>8</v>
      </c>
    </row>
    <row r="15" spans="1:12" x14ac:dyDescent="0.25">
      <c r="C15" s="27" t="s">
        <v>85</v>
      </c>
      <c r="D15" s="27">
        <v>61</v>
      </c>
      <c r="F15" s="27" t="s">
        <v>85</v>
      </c>
      <c r="G15">
        <f>MAX(A4:A14)</f>
        <v>61</v>
      </c>
      <c r="I15" s="239">
        <f t="shared" si="0"/>
        <v>29</v>
      </c>
      <c r="K15" t="s">
        <v>85</v>
      </c>
      <c r="L15">
        <f>MAX(A4:A14)</f>
        <v>61</v>
      </c>
    </row>
    <row r="16" spans="1:12" x14ac:dyDescent="0.25">
      <c r="C16" s="27" t="s">
        <v>86</v>
      </c>
      <c r="D16" s="27">
        <v>339</v>
      </c>
      <c r="F16" s="27" t="s">
        <v>86</v>
      </c>
      <c r="G16">
        <f>SUM(A4:A14)</f>
        <v>339</v>
      </c>
      <c r="I16" s="239">
        <f t="shared" si="0"/>
        <v>9</v>
      </c>
      <c r="K16" t="s">
        <v>86</v>
      </c>
      <c r="L16">
        <f>SUM(A4:A14)</f>
        <v>339</v>
      </c>
    </row>
    <row r="17" spans="3:16" ht="15.75" thickBot="1" x14ac:dyDescent="0.3">
      <c r="C17" s="30" t="s">
        <v>87</v>
      </c>
      <c r="D17" s="30">
        <v>11</v>
      </c>
      <c r="F17" s="30" t="s">
        <v>87</v>
      </c>
      <c r="G17" s="36">
        <f>COUNT(A4:A14)</f>
        <v>11</v>
      </c>
      <c r="K17" t="s">
        <v>87</v>
      </c>
      <c r="L17">
        <f>COUNT(A4:A14)</f>
        <v>11</v>
      </c>
    </row>
    <row r="18" spans="3:16" x14ac:dyDescent="0.25">
      <c r="F18" t="s">
        <v>88</v>
      </c>
      <c r="G18">
        <f>GEOMEAN(A4:A14)</f>
        <v>26.754716545631396</v>
      </c>
      <c r="K18" t="s">
        <v>33</v>
      </c>
      <c r="L18">
        <f>GEOMEAN(A4:A14)</f>
        <v>26.754716545631396</v>
      </c>
    </row>
    <row r="19" spans="3:16" x14ac:dyDescent="0.25">
      <c r="F19" t="s">
        <v>89</v>
      </c>
      <c r="G19">
        <f>HARMEAN(A4:A14)</f>
        <v>22.653734367228317</v>
      </c>
      <c r="K19" t="s">
        <v>90</v>
      </c>
      <c r="L19">
        <f>HARMEAN(A4:A14)</f>
        <v>22.653734367228317</v>
      </c>
      <c r="O19" s="323" t="s">
        <v>821</v>
      </c>
      <c r="P19" s="323" t="s">
        <v>822</v>
      </c>
    </row>
    <row r="20" spans="3:16" x14ac:dyDescent="0.25">
      <c r="F20" t="s">
        <v>91</v>
      </c>
      <c r="G20">
        <f>AVEDEV(A4:A14)</f>
        <v>13.438016528925619</v>
      </c>
      <c r="K20" t="s">
        <v>91</v>
      </c>
      <c r="L20">
        <f>AVEDEV(A4:A14)</f>
        <v>13.438016528925619</v>
      </c>
      <c r="N20" t="s">
        <v>148</v>
      </c>
      <c r="O20" s="316">
        <f>_xlfn.QUARTILE.INC(A4:A14,1)</f>
        <v>21</v>
      </c>
      <c r="P20" s="317">
        <f>_xlfn.QUARTILE.EXC(A4:A14,1)</f>
        <v>21</v>
      </c>
    </row>
    <row r="21" spans="3:16" x14ac:dyDescent="0.25">
      <c r="F21" t="s">
        <v>92</v>
      </c>
      <c r="G21">
        <f>MEDIAN(I6:I16)</f>
        <v>9</v>
      </c>
      <c r="K21" t="s">
        <v>92</v>
      </c>
      <c r="L21" t="e">
        <f ca="1">MAD(A4:A14)</f>
        <v>#NAME?</v>
      </c>
      <c r="N21" t="s">
        <v>421</v>
      </c>
      <c r="O21" s="166">
        <f>_xlfn.QUARTILE.INC(A4:A14,3)</f>
        <v>41.5</v>
      </c>
      <c r="P21" s="167">
        <f>_xlfn.QUARTILE.EXC(A4:A14,3)</f>
        <v>45</v>
      </c>
    </row>
    <row r="22" spans="3:16" x14ac:dyDescent="0.25">
      <c r="F22" t="s">
        <v>93</v>
      </c>
      <c r="G22">
        <f>QUARTILE(A4:A14,3)-QUARTILE(A4:A14,1)</f>
        <v>20.5</v>
      </c>
      <c r="K22" s="11" t="s">
        <v>93</v>
      </c>
      <c r="L22" s="11" t="e">
        <f ca="1">IQR(A4:A14)</f>
        <v>#NAME?</v>
      </c>
      <c r="N22" t="s">
        <v>93</v>
      </c>
      <c r="O22" s="148" t="e">
        <f ca="1">IQR(A4:A14)</f>
        <v>#NAME?</v>
      </c>
      <c r="P22" s="153" t="e">
        <f ca="1">IQR(A4:A14,TRUE)</f>
        <v>#NAME?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O23"/>
  <sheetViews>
    <sheetView workbookViewId="0"/>
  </sheetViews>
  <sheetFormatPr defaultRowHeight="15" x14ac:dyDescent="0.25"/>
  <cols>
    <col min="1" max="1" width="8.7109375" customWidth="1"/>
    <col min="3" max="3" width="9.7109375" customWidth="1"/>
    <col min="4" max="4" width="20.85546875" customWidth="1"/>
    <col min="6" max="6" width="20.140625" customWidth="1"/>
    <col min="9" max="9" width="17.42578125" customWidth="1"/>
    <col min="13" max="13" width="18" customWidth="1"/>
  </cols>
  <sheetData>
    <row r="1" spans="1:15" x14ac:dyDescent="0.25">
      <c r="A1" s="1" t="s">
        <v>94</v>
      </c>
      <c r="I1" t="s">
        <v>1235</v>
      </c>
      <c r="M1" t="s">
        <v>1236</v>
      </c>
    </row>
    <row r="3" spans="1:15" s="1" customFormat="1" x14ac:dyDescent="0.25">
      <c r="A3" s="1" t="s">
        <v>95</v>
      </c>
      <c r="I3" s="1" t="s">
        <v>94</v>
      </c>
      <c r="M3" s="1" t="s">
        <v>94</v>
      </c>
    </row>
    <row r="4" spans="1:15" ht="15.75" thickBot="1" x14ac:dyDescent="0.3"/>
    <row r="5" spans="1:15" x14ac:dyDescent="0.25">
      <c r="A5" s="35" t="s">
        <v>96</v>
      </c>
      <c r="B5" s="35" t="s">
        <v>97</v>
      </c>
      <c r="D5" s="26" t="s">
        <v>96</v>
      </c>
      <c r="E5" s="26"/>
      <c r="F5" s="26" t="s">
        <v>97</v>
      </c>
      <c r="G5" s="26"/>
      <c r="I5" s="35"/>
      <c r="J5" s="35" t="s">
        <v>96</v>
      </c>
      <c r="K5" s="35" t="s">
        <v>97</v>
      </c>
      <c r="M5" s="324"/>
      <c r="N5" s="324" t="str">
        <f>A5</f>
        <v>Sample 1</v>
      </c>
      <c r="O5" s="324" t="str">
        <f>B5</f>
        <v>Sample 2</v>
      </c>
    </row>
    <row r="6" spans="1:15" x14ac:dyDescent="0.25">
      <c r="A6" s="33">
        <v>19</v>
      </c>
      <c r="B6" s="33">
        <v>12</v>
      </c>
      <c r="D6" s="27"/>
      <c r="E6" s="27"/>
      <c r="F6" s="27"/>
      <c r="G6" s="27"/>
      <c r="I6" t="s">
        <v>75</v>
      </c>
      <c r="J6">
        <f>AVERAGE(A6:A18)</f>
        <v>30.46153846153846</v>
      </c>
      <c r="K6">
        <f>AVERAGE(B6:B18)</f>
        <v>30.615384615384617</v>
      </c>
      <c r="M6" t="s">
        <v>75</v>
      </c>
      <c r="N6">
        <f>AVERAGE(A6:A18)</f>
        <v>30.46153846153846</v>
      </c>
      <c r="O6">
        <f>AVERAGE(B6:B18)</f>
        <v>30.615384615384617</v>
      </c>
    </row>
    <row r="7" spans="1:15" x14ac:dyDescent="0.25">
      <c r="A7" s="33">
        <v>41</v>
      </c>
      <c r="B7" s="33">
        <v>27</v>
      </c>
      <c r="D7" s="27" t="s">
        <v>75</v>
      </c>
      <c r="E7" s="27">
        <v>30.46153846153846</v>
      </c>
      <c r="F7" s="27" t="s">
        <v>75</v>
      </c>
      <c r="G7" s="27">
        <v>30.615384615384617</v>
      </c>
      <c r="I7" t="s">
        <v>76</v>
      </c>
      <c r="J7">
        <f>STDEV(A6:A18)/SQRT(COUNT(A6:A18))</f>
        <v>4.6734594124357631</v>
      </c>
      <c r="K7">
        <f>STDEV(B6:B18)/SQRT(COUNT(B6:B18))</f>
        <v>5.4473452267800937</v>
      </c>
      <c r="M7" t="s">
        <v>76</v>
      </c>
      <c r="N7">
        <f>STDEV(A6:A18)/SQRT(COUNT(A6:A18))</f>
        <v>4.6734594124357631</v>
      </c>
      <c r="O7">
        <f>STDEV(B6:B18)/SQRT(COUNT(B6:B18))</f>
        <v>5.4473452267800937</v>
      </c>
    </row>
    <row r="8" spans="1:15" x14ac:dyDescent="0.25">
      <c r="A8" s="33">
        <v>29</v>
      </c>
      <c r="B8" s="33">
        <v>18</v>
      </c>
      <c r="D8" s="27" t="s">
        <v>76</v>
      </c>
      <c r="E8" s="27">
        <v>4.6734594124357631</v>
      </c>
      <c r="F8" s="27" t="s">
        <v>76</v>
      </c>
      <c r="G8" s="27">
        <v>5.4473452267800937</v>
      </c>
      <c r="I8" t="s">
        <v>77</v>
      </c>
      <c r="J8">
        <f>MEDIAN(A6:A18)</f>
        <v>29</v>
      </c>
      <c r="K8">
        <f>MEDIAN(B6:B18)</f>
        <v>27</v>
      </c>
      <c r="M8" t="s">
        <v>77</v>
      </c>
      <c r="N8">
        <f>MEDIAN(A6:A18)</f>
        <v>29</v>
      </c>
      <c r="O8">
        <f>MEDIAN(B6:B18)</f>
        <v>27</v>
      </c>
    </row>
    <row r="9" spans="1:15" x14ac:dyDescent="0.25">
      <c r="A9" s="33">
        <v>18</v>
      </c>
      <c r="B9" s="33">
        <v>23</v>
      </c>
      <c r="D9" s="27" t="s">
        <v>77</v>
      </c>
      <c r="E9" s="27">
        <v>29</v>
      </c>
      <c r="F9" s="27" t="s">
        <v>77</v>
      </c>
      <c r="G9" s="27">
        <v>27</v>
      </c>
      <c r="I9" t="s">
        <v>78</v>
      </c>
      <c r="J9">
        <f>MODE(A6:A18)</f>
        <v>29</v>
      </c>
      <c r="K9">
        <f>MODE(B6:B18)</f>
        <v>27</v>
      </c>
      <c r="M9" t="s">
        <v>78</v>
      </c>
      <c r="N9">
        <f>MODE(A6:A18)</f>
        <v>29</v>
      </c>
      <c r="O9">
        <f>MODE(B6:B18)</f>
        <v>27</v>
      </c>
    </row>
    <row r="10" spans="1:15" x14ac:dyDescent="0.25">
      <c r="A10" s="33">
        <v>8</v>
      </c>
      <c r="B10" s="33">
        <v>72</v>
      </c>
      <c r="D10" s="27" t="s">
        <v>78</v>
      </c>
      <c r="E10" s="27">
        <v>29</v>
      </c>
      <c r="F10" s="27" t="s">
        <v>78</v>
      </c>
      <c r="G10" s="27">
        <v>27</v>
      </c>
      <c r="I10" t="s">
        <v>79</v>
      </c>
      <c r="J10">
        <f>STDEV(A6:A18)</f>
        <v>16.85039754533695</v>
      </c>
      <c r="K10">
        <f>STDEV(B6:B18)</f>
        <v>19.64068253030964</v>
      </c>
      <c r="M10" t="s">
        <v>79</v>
      </c>
      <c r="N10">
        <f>STDEV(A6:A18)</f>
        <v>16.85039754533695</v>
      </c>
      <c r="O10">
        <f>STDEV(B6:B18)</f>
        <v>19.64068253030964</v>
      </c>
    </row>
    <row r="11" spans="1:15" x14ac:dyDescent="0.25">
      <c r="A11" s="33">
        <v>29</v>
      </c>
      <c r="B11" s="33">
        <v>27</v>
      </c>
      <c r="D11" s="27" t="s">
        <v>79</v>
      </c>
      <c r="E11" s="27">
        <v>16.85039754533695</v>
      </c>
      <c r="F11" s="27" t="s">
        <v>79</v>
      </c>
      <c r="G11" s="27">
        <v>19.64068253030964</v>
      </c>
      <c r="I11" t="s">
        <v>80</v>
      </c>
      <c r="J11">
        <f>VAR(A6:A18)</f>
        <v>283.93589743589746</v>
      </c>
      <c r="K11">
        <f>VAR(B6:B18)</f>
        <v>385.75641025641033</v>
      </c>
      <c r="M11" t="s">
        <v>80</v>
      </c>
      <c r="N11">
        <f>VAR(A6:A18)</f>
        <v>283.93589743589746</v>
      </c>
      <c r="O11">
        <f>VAR(B6:B18)</f>
        <v>385.75641025641033</v>
      </c>
    </row>
    <row r="12" spans="1:15" x14ac:dyDescent="0.25">
      <c r="A12" s="33">
        <v>11</v>
      </c>
      <c r="B12" s="33">
        <v>27</v>
      </c>
      <c r="D12" s="27" t="s">
        <v>80</v>
      </c>
      <c r="E12" s="27">
        <v>283.93589743589746</v>
      </c>
      <c r="F12" s="27" t="s">
        <v>80</v>
      </c>
      <c r="G12" s="27">
        <v>385.75641025641033</v>
      </c>
      <c r="I12" t="s">
        <v>81</v>
      </c>
      <c r="J12">
        <f>KURT(A6:A18)</f>
        <v>-1.1507308047969098</v>
      </c>
      <c r="K12">
        <f>KURT(B6:B18)</f>
        <v>6.28405897369122E-2</v>
      </c>
      <c r="M12" t="s">
        <v>81</v>
      </c>
      <c r="N12">
        <f>KURT(A6:A18)</f>
        <v>-1.1507308047969098</v>
      </c>
      <c r="O12">
        <f>KURT(B6:B18)</f>
        <v>6.28405897369122E-2</v>
      </c>
    </row>
    <row r="13" spans="1:15" x14ac:dyDescent="0.25">
      <c r="A13" s="33">
        <v>59</v>
      </c>
      <c r="B13" s="33">
        <v>53</v>
      </c>
      <c r="D13" s="27" t="s">
        <v>81</v>
      </c>
      <c r="E13" s="27">
        <v>-1.1507308047969098</v>
      </c>
      <c r="F13" s="27" t="s">
        <v>81</v>
      </c>
      <c r="G13" s="27">
        <v>6.28405897369122E-2</v>
      </c>
      <c r="I13" t="s">
        <v>82</v>
      </c>
      <c r="J13">
        <f>SKEW(A6:A18)</f>
        <v>0.26560133977590394</v>
      </c>
      <c r="K13">
        <f>SKEW(B6:B18)</f>
        <v>0.78697965196289232</v>
      </c>
      <c r="M13" t="s">
        <v>82</v>
      </c>
      <c r="N13">
        <f>SKEW(A6:A18)</f>
        <v>0.26560133977590394</v>
      </c>
      <c r="O13">
        <f>SKEW(B6:B18)</f>
        <v>0.78697965196289232</v>
      </c>
    </row>
    <row r="14" spans="1:15" x14ac:dyDescent="0.25">
      <c r="A14" s="33">
        <v>41</v>
      </c>
      <c r="B14" s="33">
        <v>3</v>
      </c>
      <c r="D14" s="27" t="s">
        <v>82</v>
      </c>
      <c r="E14" s="27">
        <v>0.26560133977590394</v>
      </c>
      <c r="F14" s="27" t="s">
        <v>82</v>
      </c>
      <c r="G14" s="27">
        <v>0.78697965196289232</v>
      </c>
      <c r="I14" t="s">
        <v>83</v>
      </c>
      <c r="J14">
        <f>J16-J15</f>
        <v>51</v>
      </c>
      <c r="K14">
        <f>K16-K15</f>
        <v>69</v>
      </c>
      <c r="M14" t="s">
        <v>83</v>
      </c>
      <c r="N14">
        <f>N15-N16</f>
        <v>51</v>
      </c>
      <c r="O14">
        <f>O15-O16</f>
        <v>69</v>
      </c>
    </row>
    <row r="15" spans="1:15" x14ac:dyDescent="0.25">
      <c r="A15" s="33">
        <v>48</v>
      </c>
      <c r="B15" s="33">
        <v>45</v>
      </c>
      <c r="D15" s="27" t="s">
        <v>83</v>
      </c>
      <c r="E15" s="27">
        <v>51</v>
      </c>
      <c r="F15" s="27" t="s">
        <v>83</v>
      </c>
      <c r="G15" s="27">
        <v>69</v>
      </c>
      <c r="I15" t="s">
        <v>84</v>
      </c>
      <c r="J15">
        <f>MIN(A6:A18)</f>
        <v>8</v>
      </c>
      <c r="K15">
        <f>MIN(B6:B18)</f>
        <v>3</v>
      </c>
      <c r="M15" t="s">
        <v>85</v>
      </c>
      <c r="N15">
        <f>MAX(A6:A18)</f>
        <v>59</v>
      </c>
      <c r="O15">
        <f>MAX(B6:B18)</f>
        <v>72</v>
      </c>
    </row>
    <row r="16" spans="1:15" x14ac:dyDescent="0.25">
      <c r="A16" s="33">
        <v>53</v>
      </c>
      <c r="B16" s="33">
        <v>53</v>
      </c>
      <c r="D16" s="27" t="s">
        <v>84</v>
      </c>
      <c r="E16" s="27">
        <v>8</v>
      </c>
      <c r="F16" s="27" t="s">
        <v>84</v>
      </c>
      <c r="G16" s="27">
        <v>3</v>
      </c>
      <c r="I16" t="s">
        <v>85</v>
      </c>
      <c r="J16">
        <f>MAX(A6:A18)</f>
        <v>59</v>
      </c>
      <c r="K16">
        <f>MAX(B6:B18)</f>
        <v>72</v>
      </c>
      <c r="M16" t="s">
        <v>84</v>
      </c>
      <c r="N16">
        <f>MIN(A6:A18)</f>
        <v>8</v>
      </c>
      <c r="O16">
        <f>MIN(B6:B18)</f>
        <v>3</v>
      </c>
    </row>
    <row r="17" spans="1:15" x14ac:dyDescent="0.25">
      <c r="A17" s="33">
        <v>29</v>
      </c>
      <c r="B17" s="33">
        <v>13</v>
      </c>
      <c r="D17" s="27" t="s">
        <v>85</v>
      </c>
      <c r="E17" s="27">
        <v>59</v>
      </c>
      <c r="F17" s="27" t="s">
        <v>85</v>
      </c>
      <c r="G17" s="27">
        <v>72</v>
      </c>
      <c r="I17" t="s">
        <v>86</v>
      </c>
      <c r="J17">
        <f>SUM(A6:A18)</f>
        <v>396</v>
      </c>
      <c r="K17">
        <f>SUM(B6:B18)</f>
        <v>398</v>
      </c>
      <c r="M17" t="s">
        <v>86</v>
      </c>
      <c r="N17">
        <f>SUM(A6:A18)</f>
        <v>396</v>
      </c>
      <c r="O17">
        <f>SUM(B6:B18)</f>
        <v>398</v>
      </c>
    </row>
    <row r="18" spans="1:15" x14ac:dyDescent="0.25">
      <c r="A18" s="299">
        <v>11</v>
      </c>
      <c r="B18" s="299">
        <v>25</v>
      </c>
      <c r="D18" s="27" t="s">
        <v>86</v>
      </c>
      <c r="E18" s="27">
        <v>396</v>
      </c>
      <c r="F18" s="27" t="s">
        <v>86</v>
      </c>
      <c r="G18" s="27">
        <v>398</v>
      </c>
      <c r="I18" t="s">
        <v>87</v>
      </c>
      <c r="J18">
        <f>COUNT(A6:A18)</f>
        <v>13</v>
      </c>
      <c r="K18">
        <f>COUNT(B6:B18)</f>
        <v>13</v>
      </c>
      <c r="M18" t="s">
        <v>87</v>
      </c>
      <c r="N18">
        <f>COUNT(A6:A18)</f>
        <v>13</v>
      </c>
      <c r="O18">
        <f>COUNT(B6:B18)</f>
        <v>13</v>
      </c>
    </row>
    <row r="19" spans="1:15" ht="15.75" thickBot="1" x14ac:dyDescent="0.3">
      <c r="D19" s="30" t="s">
        <v>87</v>
      </c>
      <c r="E19" s="30">
        <v>13</v>
      </c>
      <c r="F19" s="30" t="s">
        <v>87</v>
      </c>
      <c r="G19" s="30">
        <v>13</v>
      </c>
      <c r="I19" t="s">
        <v>33</v>
      </c>
      <c r="J19">
        <f>GEOMEAN(A6:A18)</f>
        <v>25.608674447554829</v>
      </c>
      <c r="K19">
        <f>GEOMEAN(B6:B18)</f>
        <v>23.981422579554366</v>
      </c>
      <c r="M19" t="s">
        <v>33</v>
      </c>
      <c r="N19">
        <f>GEOMEAN(A6:A18)</f>
        <v>25.608674447554829</v>
      </c>
      <c r="O19">
        <f>GEOMEAN(B6:B18)</f>
        <v>23.981422579554366</v>
      </c>
    </row>
    <row r="20" spans="1:15" x14ac:dyDescent="0.25">
      <c r="I20" t="s">
        <v>90</v>
      </c>
      <c r="J20">
        <f>HARMEAN(A6:A18)</f>
        <v>20.837190537996147</v>
      </c>
      <c r="K20">
        <f>HARMEAN(B6:B18)</f>
        <v>15.900552926353798</v>
      </c>
      <c r="M20" t="s">
        <v>90</v>
      </c>
      <c r="N20">
        <f>HARMEAN(A6:A18)</f>
        <v>20.837190537996147</v>
      </c>
      <c r="O20">
        <f>HARMEAN(B6:B18)</f>
        <v>15.900552926353798</v>
      </c>
    </row>
    <row r="21" spans="1:15" x14ac:dyDescent="0.25">
      <c r="I21" t="s">
        <v>91</v>
      </c>
      <c r="J21">
        <f>AVEDEV(A6:A18)</f>
        <v>13.798816568047338</v>
      </c>
      <c r="K21">
        <f>AVEDEV(B6:B18)</f>
        <v>15.467455621301777</v>
      </c>
      <c r="M21" t="s">
        <v>91</v>
      </c>
      <c r="N21">
        <f>AVEDEV(A6:A18)</f>
        <v>13.798816568047338</v>
      </c>
      <c r="O21">
        <f>AVEDEV(B6:B18)</f>
        <v>15.467455621301777</v>
      </c>
    </row>
    <row r="22" spans="1:15" x14ac:dyDescent="0.25">
      <c r="I22" t="s">
        <v>92</v>
      </c>
      <c r="J22" t="e">
        <f ca="1">MAD(A6:A18)</f>
        <v>#NAME?</v>
      </c>
      <c r="K22" t="e">
        <f ca="1">MAD(B6:B18)</f>
        <v>#NAME?</v>
      </c>
      <c r="M22" t="s">
        <v>92</v>
      </c>
      <c r="N22" t="e">
        <f ca="1">MAD(A6:A18)</f>
        <v>#NAME?</v>
      </c>
      <c r="O22" t="e">
        <f ca="1">MAD(B6:B18)</f>
        <v>#NAME?</v>
      </c>
    </row>
    <row r="23" spans="1:15" x14ac:dyDescent="0.25">
      <c r="I23" s="11" t="s">
        <v>93</v>
      </c>
      <c r="J23" s="11" t="e">
        <f ca="1">IQR(A6:A18)</f>
        <v>#NAME?</v>
      </c>
      <c r="K23" s="11" t="e">
        <f ca="1">IQR(B6:B18)</f>
        <v>#NAME?</v>
      </c>
      <c r="M23" s="276" t="s">
        <v>93</v>
      </c>
      <c r="N23" s="276" t="e">
        <f ca="1">IQR(A6:A18,TRUE)</f>
        <v>#NAME?</v>
      </c>
      <c r="O23" s="276" t="e">
        <f ca="1">IQR(B6:B18,TRUE)</f>
        <v>#NAME?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V15"/>
  <sheetViews>
    <sheetView workbookViewId="0"/>
  </sheetViews>
  <sheetFormatPr defaultRowHeight="15" x14ac:dyDescent="0.25"/>
  <cols>
    <col min="1" max="1" width="6.42578125" customWidth="1"/>
    <col min="2" max="2" width="6.85546875" customWidth="1"/>
    <col min="3" max="4" width="6.7109375" customWidth="1"/>
    <col min="6" max="7" width="6.140625" customWidth="1"/>
    <col min="8" max="9" width="6.28515625" customWidth="1"/>
    <col min="10" max="10" width="3.140625" customWidth="1"/>
    <col min="12" max="12" width="2.85546875" customWidth="1"/>
    <col min="13" max="13" width="64.7109375" customWidth="1"/>
    <col min="17" max="22" width="6.28515625" style="208" customWidth="1"/>
  </cols>
  <sheetData>
    <row r="1" spans="1:22" x14ac:dyDescent="0.25">
      <c r="A1" s="1" t="s">
        <v>98</v>
      </c>
    </row>
    <row r="3" spans="1:22" ht="17.25" x14ac:dyDescent="0.25">
      <c r="A3" s="228" t="s">
        <v>820</v>
      </c>
      <c r="C3" s="228" t="s">
        <v>28</v>
      </c>
      <c r="D3" s="228" t="s">
        <v>99</v>
      </c>
      <c r="F3" s="206" t="s">
        <v>28</v>
      </c>
      <c r="G3" s="92" t="s">
        <v>32</v>
      </c>
      <c r="H3" s="206" t="s">
        <v>100</v>
      </c>
      <c r="I3" s="207" t="s">
        <v>101</v>
      </c>
      <c r="J3" s="452"/>
      <c r="Q3" s="206" t="s">
        <v>102</v>
      </c>
      <c r="R3" s="49" t="s">
        <v>103</v>
      </c>
      <c r="S3" s="92" t="s">
        <v>32</v>
      </c>
      <c r="T3" s="206" t="s">
        <v>104</v>
      </c>
      <c r="U3" s="206" t="s">
        <v>100</v>
      </c>
      <c r="V3" s="207" t="s">
        <v>101</v>
      </c>
    </row>
    <row r="4" spans="1:22" x14ac:dyDescent="0.25">
      <c r="A4" s="8">
        <v>2</v>
      </c>
      <c r="C4" s="8">
        <v>2</v>
      </c>
      <c r="D4" s="8">
        <v>4</v>
      </c>
      <c r="F4" s="69">
        <v>2</v>
      </c>
      <c r="G4" s="209">
        <v>4</v>
      </c>
      <c r="H4" s="69">
        <f>F4*G4</f>
        <v>8</v>
      </c>
      <c r="I4" s="70">
        <f>F4^2*G4</f>
        <v>16</v>
      </c>
      <c r="J4" s="452"/>
      <c r="N4" t="s">
        <v>63</v>
      </c>
      <c r="O4" s="154">
        <f>AVERAGE(A4:A11)</f>
        <v>3</v>
      </c>
      <c r="Q4" s="69">
        <v>0</v>
      </c>
      <c r="R4" s="112">
        <v>4</v>
      </c>
      <c r="S4" s="209">
        <v>3</v>
      </c>
      <c r="T4" s="69">
        <f>(Q4+R4)/2</f>
        <v>2</v>
      </c>
      <c r="U4" s="69">
        <f>T4*S4</f>
        <v>6</v>
      </c>
      <c r="V4" s="70">
        <f>T4^2*S4</f>
        <v>12</v>
      </c>
    </row>
    <row r="5" spans="1:22" x14ac:dyDescent="0.25">
      <c r="A5" s="8">
        <v>2</v>
      </c>
      <c r="C5" s="8">
        <v>3</v>
      </c>
      <c r="D5" s="8">
        <v>1</v>
      </c>
      <c r="F5" s="69">
        <v>3</v>
      </c>
      <c r="G5" s="209">
        <v>1</v>
      </c>
      <c r="H5" s="69">
        <f>F5*G5</f>
        <v>3</v>
      </c>
      <c r="I5" s="70">
        <f>F5^2*G5</f>
        <v>9</v>
      </c>
      <c r="J5" s="452"/>
      <c r="N5" t="s">
        <v>65</v>
      </c>
      <c r="O5" s="163">
        <f>VAR(A4:A11)</f>
        <v>1.4285714285714286</v>
      </c>
      <c r="Q5" s="69">
        <v>4</v>
      </c>
      <c r="R5" s="112">
        <v>10</v>
      </c>
      <c r="S5" s="209">
        <v>1</v>
      </c>
      <c r="T5" s="69">
        <f>(Q5+R5)/2</f>
        <v>7</v>
      </c>
      <c r="U5" s="69">
        <f>T5*S5</f>
        <v>7</v>
      </c>
      <c r="V5" s="70">
        <f>T5^2*S5</f>
        <v>49</v>
      </c>
    </row>
    <row r="6" spans="1:22" x14ac:dyDescent="0.25">
      <c r="A6" s="8">
        <v>2</v>
      </c>
      <c r="C6" s="8">
        <v>4</v>
      </c>
      <c r="D6" s="8">
        <v>2</v>
      </c>
      <c r="F6" s="69">
        <v>4</v>
      </c>
      <c r="G6" s="209">
        <v>2</v>
      </c>
      <c r="H6" s="69">
        <f>F6*G6</f>
        <v>8</v>
      </c>
      <c r="I6" s="70">
        <f>F6^2*G6</f>
        <v>32</v>
      </c>
      <c r="J6" s="452"/>
      <c r="N6" t="s">
        <v>362</v>
      </c>
      <c r="O6" s="155">
        <f>SUMSQ(A4:A11)</f>
        <v>82</v>
      </c>
      <c r="Q6" s="69">
        <v>10</v>
      </c>
      <c r="R6" s="112">
        <v>20</v>
      </c>
      <c r="S6" s="209">
        <v>2</v>
      </c>
      <c r="T6" s="69">
        <f>(Q6+R6)/2</f>
        <v>15</v>
      </c>
      <c r="U6" s="69">
        <f>T6*S6</f>
        <v>30</v>
      </c>
      <c r="V6" s="70">
        <f>T6^2*S6</f>
        <v>450</v>
      </c>
    </row>
    <row r="7" spans="1:22" x14ac:dyDescent="0.25">
      <c r="A7" s="8">
        <v>2</v>
      </c>
      <c r="C7" s="276">
        <v>5</v>
      </c>
      <c r="D7" s="276">
        <v>1</v>
      </c>
      <c r="F7" s="71">
        <v>5</v>
      </c>
      <c r="G7" s="210">
        <v>1</v>
      </c>
      <c r="H7" s="71">
        <f>F7*G7</f>
        <v>5</v>
      </c>
      <c r="I7" s="72">
        <f>F7^2*G7</f>
        <v>25</v>
      </c>
      <c r="J7" s="452"/>
      <c r="Q7" s="71">
        <v>20</v>
      </c>
      <c r="R7" s="212">
        <v>30</v>
      </c>
      <c r="S7" s="210">
        <v>1</v>
      </c>
      <c r="T7" s="71">
        <f>(Q7+R7)/2</f>
        <v>25</v>
      </c>
      <c r="U7" s="71">
        <f>T7*S7</f>
        <v>25</v>
      </c>
      <c r="V7" s="72">
        <f>T7^2*S7</f>
        <v>625</v>
      </c>
    </row>
    <row r="8" spans="1:22" x14ac:dyDescent="0.25">
      <c r="A8" s="8">
        <v>3</v>
      </c>
      <c r="F8" s="208"/>
      <c r="G8" s="208">
        <f>SUM(G4:G7)</f>
        <v>8</v>
      </c>
      <c r="H8" s="208">
        <f>SUM(H4:H7)</f>
        <v>24</v>
      </c>
      <c r="I8" s="208">
        <f>SUM(I4:I7)</f>
        <v>82</v>
      </c>
      <c r="J8" s="451"/>
      <c r="S8" s="208">
        <f>SUM(S4:S7)</f>
        <v>7</v>
      </c>
      <c r="U8" s="208">
        <f>SUM(U4:U7)</f>
        <v>68</v>
      </c>
      <c r="V8" s="208">
        <f>SUM(V4:V7)</f>
        <v>1136</v>
      </c>
    </row>
    <row r="9" spans="1:22" x14ac:dyDescent="0.25">
      <c r="A9" s="8">
        <v>4</v>
      </c>
      <c r="C9" t="s">
        <v>31</v>
      </c>
      <c r="F9" s="208"/>
      <c r="G9" s="208"/>
      <c r="H9" s="208"/>
      <c r="I9" s="208"/>
      <c r="J9" s="451"/>
    </row>
    <row r="10" spans="1:22" x14ac:dyDescent="0.25">
      <c r="A10" s="8">
        <v>4</v>
      </c>
      <c r="F10" s="210" t="s">
        <v>520</v>
      </c>
      <c r="G10" s="210" t="s">
        <v>105</v>
      </c>
      <c r="H10" s="210" t="s">
        <v>379</v>
      </c>
      <c r="I10" s="208"/>
      <c r="J10" s="451"/>
      <c r="Q10" s="210" t="s">
        <v>520</v>
      </c>
      <c r="R10" s="210" t="s">
        <v>105</v>
      </c>
      <c r="S10" s="210" t="s">
        <v>379</v>
      </c>
    </row>
    <row r="11" spans="1:22" x14ac:dyDescent="0.25">
      <c r="A11" s="276">
        <v>5</v>
      </c>
      <c r="C11" s="228" t="s">
        <v>28</v>
      </c>
      <c r="D11" s="228" t="s">
        <v>29</v>
      </c>
      <c r="F11" s="208">
        <f>H8</f>
        <v>24</v>
      </c>
      <c r="G11" s="208">
        <f>G8</f>
        <v>8</v>
      </c>
      <c r="H11" s="208">
        <f>F11/G11</f>
        <v>3</v>
      </c>
      <c r="I11" s="208"/>
      <c r="J11" s="451"/>
      <c r="K11" s="205">
        <f>SUMPRODUCT(F4:F7,G4:G7)/SUM(G4:G7)</f>
        <v>3</v>
      </c>
      <c r="M11" t="e">
        <f ca="1">FTEXT(K11)</f>
        <v>#NAME?</v>
      </c>
      <c r="Q11" s="208">
        <f>U8</f>
        <v>68</v>
      </c>
      <c r="R11" s="208">
        <f>S8</f>
        <v>7</v>
      </c>
      <c r="S11" s="208">
        <f>Q11/R11</f>
        <v>9.7142857142857135</v>
      </c>
    </row>
    <row r="12" spans="1:22" x14ac:dyDescent="0.25">
      <c r="C12" s="8">
        <v>2</v>
      </c>
      <c r="D12" s="8">
        <f>G4/$G$8</f>
        <v>0.5</v>
      </c>
      <c r="F12" s="208"/>
      <c r="G12" s="208"/>
      <c r="H12" s="208"/>
      <c r="I12" s="208"/>
      <c r="J12" s="451"/>
    </row>
    <row r="13" spans="1:22" ht="17.25" x14ac:dyDescent="0.25">
      <c r="C13" s="8">
        <v>3</v>
      </c>
      <c r="D13" s="8">
        <f>G5/$G$8</f>
        <v>0.125</v>
      </c>
      <c r="F13" s="210" t="s">
        <v>519</v>
      </c>
      <c r="G13" s="210" t="s">
        <v>105</v>
      </c>
      <c r="H13" s="210" t="s">
        <v>518</v>
      </c>
      <c r="I13" s="211" t="s">
        <v>65</v>
      </c>
      <c r="J13" s="111"/>
      <c r="Q13" s="210" t="s">
        <v>519</v>
      </c>
      <c r="R13" s="210" t="s">
        <v>105</v>
      </c>
      <c r="S13" s="210" t="s">
        <v>518</v>
      </c>
      <c r="T13" s="211" t="s">
        <v>65</v>
      </c>
    </row>
    <row r="14" spans="1:22" x14ac:dyDescent="0.25">
      <c r="C14" s="8">
        <v>4</v>
      </c>
      <c r="D14" s="8">
        <f>G6/$G$8</f>
        <v>0.25</v>
      </c>
      <c r="F14" s="208">
        <f>I8</f>
        <v>82</v>
      </c>
      <c r="G14" s="208">
        <f>G8</f>
        <v>8</v>
      </c>
      <c r="H14" s="208">
        <f>H11^2</f>
        <v>9</v>
      </c>
      <c r="I14" s="208">
        <f>(F14-G14*H14)/(G14-1)</f>
        <v>1.4285714285714286</v>
      </c>
      <c r="J14" s="451"/>
      <c r="K14" s="205">
        <f>(SUMPRODUCT(F4:F7^2,G4:G7)-SUM(G4:G7)*K11^2)/(SUM(G4:G7)-1)</f>
        <v>1.4285714285714286</v>
      </c>
      <c r="M14" t="e">
        <f ca="1">FTEXT(K14)</f>
        <v>#NAME?</v>
      </c>
      <c r="Q14" s="208">
        <f>V8</f>
        <v>1136</v>
      </c>
      <c r="R14" s="208">
        <f>S8</f>
        <v>7</v>
      </c>
      <c r="S14" s="208">
        <f>S11^2</f>
        <v>94.367346938775498</v>
      </c>
      <c r="T14" s="208">
        <f>(Q14-R14*S14)/(R14-1)</f>
        <v>79.238095238095255</v>
      </c>
    </row>
    <row r="15" spans="1:22" x14ac:dyDescent="0.25">
      <c r="C15" s="276">
        <v>5</v>
      </c>
      <c r="D15" s="276">
        <f>G7/$G$8</f>
        <v>0.125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8"/>
  <dimension ref="A1:W52"/>
  <sheetViews>
    <sheetView workbookViewId="0"/>
  </sheetViews>
  <sheetFormatPr defaultRowHeight="15" x14ac:dyDescent="0.25"/>
  <cols>
    <col min="9" max="10" width="6.28515625" customWidth="1"/>
    <col min="11" max="11" width="3.85546875" customWidth="1"/>
    <col min="12" max="12" width="18.28515625" customWidth="1"/>
    <col min="14" max="14" width="2.28515625" customWidth="1"/>
    <col min="15" max="15" width="105.7109375" customWidth="1"/>
    <col min="16" max="16" width="9.140625" customWidth="1"/>
    <col min="17" max="18" width="6.28515625" customWidth="1"/>
    <col min="19" max="19" width="7" customWidth="1"/>
    <col min="20" max="20" width="18.28515625" customWidth="1"/>
  </cols>
  <sheetData>
    <row r="1" spans="1:23" x14ac:dyDescent="0.25">
      <c r="A1" s="1" t="s">
        <v>125</v>
      </c>
      <c r="I1" s="1" t="s">
        <v>705</v>
      </c>
      <c r="Q1" t="s">
        <v>705</v>
      </c>
    </row>
    <row r="2" spans="1:23" ht="15" customHeight="1" x14ac:dyDescent="0.25"/>
    <row r="3" spans="1:23" x14ac:dyDescent="0.25">
      <c r="A3" s="592" t="s">
        <v>126</v>
      </c>
      <c r="B3" s="592"/>
      <c r="C3" s="592"/>
      <c r="E3" s="592" t="s">
        <v>127</v>
      </c>
      <c r="F3" s="592"/>
      <c r="G3" s="592"/>
      <c r="I3" t="s">
        <v>126</v>
      </c>
      <c r="L3" t="s">
        <v>94</v>
      </c>
      <c r="Q3" t="s">
        <v>126</v>
      </c>
      <c r="T3" t="s">
        <v>94</v>
      </c>
      <c r="W3" t="s">
        <v>133</v>
      </c>
    </row>
    <row r="4" spans="1:23" ht="15" customHeight="1" x14ac:dyDescent="0.25">
      <c r="L4" s="276"/>
      <c r="M4" s="276"/>
      <c r="N4" s="8"/>
      <c r="O4" s="8"/>
      <c r="T4" s="276"/>
      <c r="U4" s="276"/>
    </row>
    <row r="5" spans="1:23" x14ac:dyDescent="0.25">
      <c r="A5" s="580" t="s">
        <v>128</v>
      </c>
      <c r="B5" s="580" t="s">
        <v>129</v>
      </c>
      <c r="C5" s="580" t="s">
        <v>130</v>
      </c>
      <c r="E5" s="580" t="str">
        <f>A5</f>
        <v>Score</v>
      </c>
      <c r="F5" s="580" t="s">
        <v>131</v>
      </c>
      <c r="G5" s="580" t="s">
        <v>87</v>
      </c>
      <c r="I5" s="228" t="s">
        <v>128</v>
      </c>
      <c r="J5" s="228" t="s">
        <v>129</v>
      </c>
      <c r="L5" t="s">
        <v>75</v>
      </c>
      <c r="M5">
        <f>M16/M17</f>
        <v>5.5</v>
      </c>
      <c r="O5" s="22" t="e">
        <f ca="1">FTEXT(M5)</f>
        <v>#NAME?</v>
      </c>
      <c r="Q5" s="287" t="s">
        <v>128</v>
      </c>
      <c r="R5" s="288" t="s">
        <v>129</v>
      </c>
      <c r="T5" t="s">
        <v>75</v>
      </c>
      <c r="U5">
        <f>U16/U17</f>
        <v>5.5</v>
      </c>
      <c r="W5" s="290" t="e">
        <f t="array" aca="1" ref="W5:W19" ca="1">FREQ2RAW(Q6:Q12,R6:R12)</f>
        <v>#NAME?</v>
      </c>
    </row>
    <row r="6" spans="1:23" x14ac:dyDescent="0.25">
      <c r="A6" s="110">
        <v>5</v>
      </c>
      <c r="B6" s="8">
        <v>1</v>
      </c>
      <c r="C6" s="8">
        <f>B6</f>
        <v>1</v>
      </c>
      <c r="E6" s="110">
        <f>A6</f>
        <v>5</v>
      </c>
      <c r="F6" s="8">
        <v>1</v>
      </c>
      <c r="G6" s="8">
        <f>B6-1</f>
        <v>0</v>
      </c>
      <c r="I6" s="110">
        <v>5</v>
      </c>
      <c r="J6" s="8">
        <v>1</v>
      </c>
      <c r="L6" t="s">
        <v>76</v>
      </c>
      <c r="M6">
        <f>M9/SQRT(M17)</f>
        <v>7.3029674334022132E-2</v>
      </c>
      <c r="O6" s="22" t="e">
        <f ca="1">FTEXT(M6)</f>
        <v>#NAME?</v>
      </c>
      <c r="Q6" s="231">
        <v>5</v>
      </c>
      <c r="R6" s="167">
        <v>1</v>
      </c>
      <c r="T6" t="s">
        <v>76</v>
      </c>
      <c r="U6">
        <f>U9/SQRT(U17)</f>
        <v>7.3029674334022132E-2</v>
      </c>
      <c r="W6" s="238" t="e">
        <f ca="1"/>
        <v>#NAME?</v>
      </c>
    </row>
    <row r="7" spans="1:23" x14ac:dyDescent="0.25">
      <c r="A7" s="110">
        <v>5.0999999999999996</v>
      </c>
      <c r="B7" s="8">
        <v>1</v>
      </c>
      <c r="C7" s="8">
        <f t="shared" ref="C7:C12" si="0">B7+C6</f>
        <v>2</v>
      </c>
      <c r="E7" s="110">
        <f t="shared" ref="E7:E20" si="1">IF(G6=0,INDEX($A$27:$A$33,F6+1),E6)</f>
        <v>5.0999999999999996</v>
      </c>
      <c r="F7" s="8">
        <f>IF(G6=0,F6+1,F6)</f>
        <v>2</v>
      </c>
      <c r="G7" s="8">
        <f t="shared" ref="G7:G20" si="2">IF(G6=0,INDEX($B$27:$B$33,F7)-1,G6-1)</f>
        <v>0</v>
      </c>
      <c r="I7" s="110">
        <v>5.0999999999999996</v>
      </c>
      <c r="J7" s="8">
        <v>1</v>
      </c>
      <c r="L7" t="s">
        <v>77</v>
      </c>
      <c r="M7" t="e">
        <f ca="1">MEDIAN(FREQ2RAW(I6:I12,J6:J12))</f>
        <v>#NAME?</v>
      </c>
      <c r="O7" s="22" t="e">
        <f ca="1">FTEXT(M7)</f>
        <v>#NAME?</v>
      </c>
      <c r="Q7" s="231">
        <v>5.0999999999999996</v>
      </c>
      <c r="R7" s="167">
        <v>1</v>
      </c>
      <c r="T7" t="s">
        <v>77</v>
      </c>
      <c r="U7" t="e">
        <f ca="1">MEDIAN(FREQ2RAW(Q6:Q12,R6:R12))</f>
        <v>#NAME?</v>
      </c>
      <c r="W7" s="238" t="e">
        <f ca="1"/>
        <v>#NAME?</v>
      </c>
    </row>
    <row r="8" spans="1:23" x14ac:dyDescent="0.25">
      <c r="A8" s="110">
        <v>5.2</v>
      </c>
      <c r="B8" s="8">
        <v>3</v>
      </c>
      <c r="C8" s="8">
        <f t="shared" si="0"/>
        <v>5</v>
      </c>
      <c r="E8" s="110">
        <f t="shared" si="1"/>
        <v>5.2</v>
      </c>
      <c r="F8" s="8">
        <f t="shared" ref="F8:F20" si="3">IF(G7=0,F7+1,F7)</f>
        <v>3</v>
      </c>
      <c r="G8" s="8">
        <f t="shared" si="2"/>
        <v>2</v>
      </c>
      <c r="I8" s="110">
        <v>5.2</v>
      </c>
      <c r="J8" s="8">
        <v>3</v>
      </c>
      <c r="L8" t="s">
        <v>78</v>
      </c>
      <c r="M8">
        <f>IF(COUNTIF(J6:J12,MAX(J6:J12))&gt;1,#N/A,SUMIF(J6:J12,MAX(J6:J12),I6:I12))</f>
        <v>5.7</v>
      </c>
      <c r="O8" s="22" t="e">
        <f ca="1">FTEXT(M8)</f>
        <v>#NAME?</v>
      </c>
      <c r="Q8" s="231">
        <v>5.2</v>
      </c>
      <c r="R8" s="167">
        <v>3</v>
      </c>
      <c r="T8" t="s">
        <v>78</v>
      </c>
      <c r="U8">
        <f>IF(COUNTIF(R6:R12,MAX(R6:R12))&gt;1,#N/A,SUMIF(R6:R12,MAX(R6:R12),Q6:Q12))</f>
        <v>5.7</v>
      </c>
      <c r="W8" s="238" t="e">
        <f ca="1"/>
        <v>#NAME?</v>
      </c>
    </row>
    <row r="9" spans="1:23" x14ac:dyDescent="0.25">
      <c r="A9" s="110">
        <v>5.5</v>
      </c>
      <c r="B9" s="8">
        <v>2</v>
      </c>
      <c r="C9" s="8">
        <f t="shared" si="0"/>
        <v>7</v>
      </c>
      <c r="E9" s="110">
        <f t="shared" si="1"/>
        <v>5.2</v>
      </c>
      <c r="F9" s="8">
        <f t="shared" si="3"/>
        <v>3</v>
      </c>
      <c r="G9" s="8">
        <f t="shared" si="2"/>
        <v>1</v>
      </c>
      <c r="I9" s="110">
        <v>5.5</v>
      </c>
      <c r="J9" s="8">
        <v>2</v>
      </c>
      <c r="L9" t="s">
        <v>79</v>
      </c>
      <c r="M9">
        <f>SQRT(M10)</f>
        <v>0.28284271247461895</v>
      </c>
      <c r="O9" s="22" t="e">
        <f ca="1">FTEXT(M9)</f>
        <v>#NAME?</v>
      </c>
      <c r="Q9" s="231">
        <v>5.5</v>
      </c>
      <c r="R9" s="167">
        <v>2</v>
      </c>
      <c r="T9" t="s">
        <v>79</v>
      </c>
      <c r="U9">
        <f>SQRT(U10)</f>
        <v>0.28284271247461895</v>
      </c>
      <c r="W9" s="238" t="e">
        <f ca="1"/>
        <v>#NAME?</v>
      </c>
    </row>
    <row r="10" spans="1:23" x14ac:dyDescent="0.25">
      <c r="A10" s="110">
        <v>5.6</v>
      </c>
      <c r="B10" s="8">
        <v>1</v>
      </c>
      <c r="C10" s="8">
        <f t="shared" si="0"/>
        <v>8</v>
      </c>
      <c r="E10" s="110">
        <f t="shared" si="1"/>
        <v>5.2</v>
      </c>
      <c r="F10" s="8">
        <f t="shared" si="3"/>
        <v>3</v>
      </c>
      <c r="G10" s="8">
        <f t="shared" si="2"/>
        <v>0</v>
      </c>
      <c r="I10" s="110">
        <v>5.6</v>
      </c>
      <c r="J10" s="8">
        <v>1</v>
      </c>
      <c r="L10" t="s">
        <v>80</v>
      </c>
      <c r="M10">
        <f>SUMPRODUCT((I6:I12-M5)^2,J6:J12)/(M17-1)</f>
        <v>7.9999999999999974E-2</v>
      </c>
      <c r="O10" s="22" t="e">
        <f ca="1">FTEXT(M10)</f>
        <v>#NAME?</v>
      </c>
      <c r="Q10" s="231">
        <v>5.6</v>
      </c>
      <c r="R10" s="167">
        <v>1</v>
      </c>
      <c r="T10" t="s">
        <v>80</v>
      </c>
      <c r="U10">
        <f>SUMPRODUCT((Q6:Q12-U5)^2,R6:R12)/(U17-1)</f>
        <v>7.9999999999999974E-2</v>
      </c>
      <c r="W10" s="238" t="e">
        <f ca="1"/>
        <v>#NAME?</v>
      </c>
    </row>
    <row r="11" spans="1:23" x14ac:dyDescent="0.25">
      <c r="A11" s="110">
        <v>5.7</v>
      </c>
      <c r="B11" s="8">
        <v>4</v>
      </c>
      <c r="C11" s="8">
        <f t="shared" si="0"/>
        <v>12</v>
      </c>
      <c r="E11" s="110">
        <f t="shared" si="1"/>
        <v>5.5</v>
      </c>
      <c r="F11" s="8">
        <f t="shared" si="3"/>
        <v>4</v>
      </c>
      <c r="G11" s="8">
        <f t="shared" si="2"/>
        <v>1</v>
      </c>
      <c r="I11" s="110">
        <v>5.7</v>
      </c>
      <c r="J11" s="8">
        <v>4</v>
      </c>
      <c r="L11" t="s">
        <v>81</v>
      </c>
      <c r="M11">
        <f>M17*(M17+1)*SUMPRODUCT((I6:I12-M5)^4,J6:J12)/((M17-1)*(M17-2)*(M17-3)*M10^2)-3*(M17-1)^2/((M17-2)*(M17-3))</f>
        <v>-1.3104395604395593</v>
      </c>
      <c r="O11" s="22" t="e">
        <f ca="1">FTEXT(M11)</f>
        <v>#NAME?</v>
      </c>
      <c r="Q11" s="231">
        <v>5.7</v>
      </c>
      <c r="R11" s="167">
        <v>4</v>
      </c>
      <c r="T11" t="s">
        <v>81</v>
      </c>
      <c r="U11">
        <f>U17*(U17+1)*SUMPRODUCT((Q6:Q12-U5)^4,R6:R12)/((U17-1)*(U17-2)*(U17-3)*U10^2)-3*(U17-1)^2/((U17-2)*(U17-3))</f>
        <v>-1.3104395604395593</v>
      </c>
      <c r="W11" s="238" t="e">
        <f ca="1"/>
        <v>#NAME?</v>
      </c>
    </row>
    <row r="12" spans="1:23" x14ac:dyDescent="0.25">
      <c r="A12" s="368">
        <v>5.8</v>
      </c>
      <c r="B12" s="276">
        <v>3</v>
      </c>
      <c r="C12" s="276">
        <f t="shared" si="0"/>
        <v>15</v>
      </c>
      <c r="E12" s="110">
        <f t="shared" si="1"/>
        <v>5.5</v>
      </c>
      <c r="F12" s="8">
        <f t="shared" si="3"/>
        <v>4</v>
      </c>
      <c r="G12" s="8">
        <f t="shared" si="2"/>
        <v>0</v>
      </c>
      <c r="I12" s="368">
        <v>5.8</v>
      </c>
      <c r="J12" s="276">
        <v>3</v>
      </c>
      <c r="L12" t="s">
        <v>82</v>
      </c>
      <c r="M12">
        <f>M17*SUMPRODUCT((I6:I12-M5)^3,J6:J12)/((M17-1)*(M17-2)*M9^3)</f>
        <v>-0.56821080631061915</v>
      </c>
      <c r="O12" s="22" t="e">
        <f ca="1">FTEXT(M12)</f>
        <v>#NAME?</v>
      </c>
      <c r="Q12" s="289">
        <v>5.8</v>
      </c>
      <c r="R12" s="153">
        <v>3</v>
      </c>
      <c r="T12" t="s">
        <v>82</v>
      </c>
      <c r="U12">
        <f>U17*SUMPRODUCT((Q6:Q12-U5)^3,R6:R12)/((U17-1)*(U17-2)*U9^3)</f>
        <v>-0.56821080631061915</v>
      </c>
      <c r="W12" s="238" t="e">
        <f ca="1"/>
        <v>#NAME?</v>
      </c>
    </row>
    <row r="13" spans="1:23" x14ac:dyDescent="0.25">
      <c r="E13" s="110">
        <f t="shared" si="1"/>
        <v>5.6</v>
      </c>
      <c r="F13" s="8">
        <f t="shared" si="3"/>
        <v>5</v>
      </c>
      <c r="G13" s="8">
        <f t="shared" si="2"/>
        <v>0</v>
      </c>
      <c r="L13" t="s">
        <v>83</v>
      </c>
      <c r="M13" s="52">
        <f>M14-M15</f>
        <v>0.79999999999999982</v>
      </c>
      <c r="O13" s="22" t="e">
        <f ca="1">FTEXT(M13)</f>
        <v>#NAME?</v>
      </c>
      <c r="T13" t="s">
        <v>83</v>
      </c>
      <c r="U13" s="52">
        <f>U14-U15</f>
        <v>0.79999999999999982</v>
      </c>
      <c r="W13" s="238" t="e">
        <f ca="1"/>
        <v>#NAME?</v>
      </c>
    </row>
    <row r="14" spans="1:23" x14ac:dyDescent="0.25">
      <c r="E14" s="110">
        <f t="shared" si="1"/>
        <v>5.7</v>
      </c>
      <c r="F14" s="8">
        <f t="shared" si="3"/>
        <v>6</v>
      </c>
      <c r="G14" s="8">
        <f t="shared" si="2"/>
        <v>3</v>
      </c>
      <c r="L14" t="s">
        <v>85</v>
      </c>
      <c r="M14" s="52">
        <f>MAX(I6:I12)</f>
        <v>5.8</v>
      </c>
      <c r="N14" s="52"/>
      <c r="O14" s="22" t="e">
        <f ca="1">FTEXT(M14)</f>
        <v>#NAME?</v>
      </c>
      <c r="T14" t="s">
        <v>85</v>
      </c>
      <c r="U14" s="52">
        <f>MAX(Q6:Q12)</f>
        <v>5.8</v>
      </c>
      <c r="W14" s="238" t="e">
        <f ca="1"/>
        <v>#NAME?</v>
      </c>
    </row>
    <row r="15" spans="1:23" x14ac:dyDescent="0.25">
      <c r="E15" s="110">
        <f t="shared" si="1"/>
        <v>5.7</v>
      </c>
      <c r="F15" s="8">
        <f t="shared" si="3"/>
        <v>6</v>
      </c>
      <c r="G15" s="8">
        <f t="shared" si="2"/>
        <v>2</v>
      </c>
      <c r="L15" t="s">
        <v>84</v>
      </c>
      <c r="M15" s="52">
        <f>MIN(I6:I12)</f>
        <v>5</v>
      </c>
      <c r="N15" s="52"/>
      <c r="O15" s="22" t="e">
        <f ca="1">FTEXT(M15)</f>
        <v>#NAME?</v>
      </c>
      <c r="T15" t="s">
        <v>84</v>
      </c>
      <c r="U15" s="52">
        <f>MIN(Q6:Q12)</f>
        <v>5</v>
      </c>
      <c r="W15" s="238" t="e">
        <f ca="1"/>
        <v>#NAME?</v>
      </c>
    </row>
    <row r="16" spans="1:23" x14ac:dyDescent="0.25">
      <c r="E16" s="110">
        <f t="shared" si="1"/>
        <v>5.7</v>
      </c>
      <c r="F16" s="8">
        <f t="shared" si="3"/>
        <v>6</v>
      </c>
      <c r="G16" s="8">
        <f t="shared" si="2"/>
        <v>1</v>
      </c>
      <c r="L16" t="s">
        <v>86</v>
      </c>
      <c r="M16">
        <f>SUMPRODUCT(I6:I12,J6:J12)</f>
        <v>82.5</v>
      </c>
      <c r="O16" s="22" t="e">
        <f ca="1">FTEXT(M16)</f>
        <v>#NAME?</v>
      </c>
      <c r="T16" t="s">
        <v>86</v>
      </c>
      <c r="U16">
        <f>SUMPRODUCT(Q6:Q12,R6:R12)</f>
        <v>82.5</v>
      </c>
      <c r="W16" s="238" t="e">
        <f ca="1"/>
        <v>#NAME?</v>
      </c>
    </row>
    <row r="17" spans="1:23" x14ac:dyDescent="0.25">
      <c r="E17" s="110">
        <f t="shared" si="1"/>
        <v>5.7</v>
      </c>
      <c r="F17" s="8">
        <f t="shared" si="3"/>
        <v>6</v>
      </c>
      <c r="G17" s="8">
        <f t="shared" si="2"/>
        <v>0</v>
      </c>
      <c r="L17" t="s">
        <v>87</v>
      </c>
      <c r="M17">
        <f>SUM(J6:J12)</f>
        <v>15</v>
      </c>
      <c r="O17" s="22" t="e">
        <f ca="1">FTEXT(M17)</f>
        <v>#NAME?</v>
      </c>
      <c r="T17" t="s">
        <v>87</v>
      </c>
      <c r="U17">
        <f>SUM(R6:R12)</f>
        <v>15</v>
      </c>
      <c r="W17" s="238" t="e">
        <f ca="1"/>
        <v>#NAME?</v>
      </c>
    </row>
    <row r="18" spans="1:23" x14ac:dyDescent="0.25">
      <c r="E18" s="110">
        <f t="shared" si="1"/>
        <v>5.8</v>
      </c>
      <c r="F18" s="8">
        <f t="shared" si="3"/>
        <v>7</v>
      </c>
      <c r="G18" s="8">
        <f t="shared" si="2"/>
        <v>2</v>
      </c>
      <c r="L18" t="s">
        <v>33</v>
      </c>
      <c r="M18">
        <f t="array" ref="M18">PRODUCT(I6:I12^J6:J12)^(1/M17)</f>
        <v>5.493086880815456</v>
      </c>
      <c r="O18" s="22" t="e">
        <f ca="1">FTEXT(M18)</f>
        <v>#NAME?</v>
      </c>
      <c r="T18" t="s">
        <v>33</v>
      </c>
      <c r="U18">
        <f t="array" ref="U18">PRODUCT(Q6:Q12^R6:R12)^(1/U17)</f>
        <v>5.493086880815456</v>
      </c>
      <c r="W18" s="238" t="e">
        <f ca="1"/>
        <v>#NAME?</v>
      </c>
    </row>
    <row r="19" spans="1:23" x14ac:dyDescent="0.25">
      <c r="E19" s="110">
        <f t="shared" si="1"/>
        <v>5.8</v>
      </c>
      <c r="F19" s="8">
        <f t="shared" si="3"/>
        <v>7</v>
      </c>
      <c r="G19" s="8">
        <f t="shared" si="2"/>
        <v>1</v>
      </c>
      <c r="L19" t="s">
        <v>90</v>
      </c>
      <c r="M19">
        <f>M17/SUMPRODUCT(1/I6:I12*J6:J12)</f>
        <v>5.4860552296314848</v>
      </c>
      <c r="O19" s="22" t="e">
        <f ca="1">FTEXT(M19)</f>
        <v>#NAME?</v>
      </c>
      <c r="T19" t="s">
        <v>90</v>
      </c>
      <c r="U19">
        <f>U17/SUMPRODUCT(1/Q6:Q12*R6:R12)</f>
        <v>5.4860552296314848</v>
      </c>
      <c r="W19" s="272" t="e">
        <f ca="1"/>
        <v>#NAME?</v>
      </c>
    </row>
    <row r="20" spans="1:23" x14ac:dyDescent="0.25">
      <c r="E20" s="368">
        <f t="shared" si="1"/>
        <v>5.8</v>
      </c>
      <c r="F20" s="276">
        <f t="shared" si="3"/>
        <v>7</v>
      </c>
      <c r="G20" s="276">
        <f t="shared" si="2"/>
        <v>0</v>
      </c>
      <c r="L20" t="s">
        <v>91</v>
      </c>
      <c r="M20">
        <f>SUMPRODUCT(ABS(I6:I12-M5),J6:J12)/M17</f>
        <v>0.23999999999999996</v>
      </c>
      <c r="O20" s="22" t="e">
        <f ca="1">FTEXT(M20)</f>
        <v>#NAME?</v>
      </c>
      <c r="T20" t="s">
        <v>91</v>
      </c>
      <c r="U20">
        <f>SUMPRODUCT(ABS(Q6:Q12-U5),R6:R12)/U17</f>
        <v>0.23999999999999996</v>
      </c>
    </row>
    <row r="21" spans="1:23" x14ac:dyDescent="0.25">
      <c r="L21" t="s">
        <v>92</v>
      </c>
      <c r="M21" t="e">
        <f ca="1">MAD(FREQ2RAW(I6:I12,J6:J12))</f>
        <v>#NAME?</v>
      </c>
      <c r="O21" s="22" t="e">
        <f ca="1">FTEXT(M21)</f>
        <v>#NAME?</v>
      </c>
      <c r="T21" t="s">
        <v>92</v>
      </c>
      <c r="U21" t="e">
        <f ca="1">MAD(FREQ2RAW(Q6:Q12,R6:R12))</f>
        <v>#NAME?</v>
      </c>
    </row>
    <row r="22" spans="1:23" x14ac:dyDescent="0.25">
      <c r="A22" s="1" t="s">
        <v>132</v>
      </c>
      <c r="L22" s="276" t="s">
        <v>93</v>
      </c>
      <c r="M22" s="276" t="e">
        <f ca="1">IQR(FREQ2RAW(I6:I12,J6:J12))</f>
        <v>#NAME?</v>
      </c>
      <c r="O22" s="22" t="e">
        <f ca="1">FTEXT(M22)</f>
        <v>#NAME?</v>
      </c>
      <c r="T22" s="276" t="s">
        <v>93</v>
      </c>
      <c r="U22" s="276" t="e">
        <f ca="1">IQR(FREQ2RAW(Q6:Q12,R6:R12))</f>
        <v>#NAME?</v>
      </c>
    </row>
    <row r="24" spans="1:23" x14ac:dyDescent="0.25">
      <c r="A24" s="592" t="s">
        <v>126</v>
      </c>
      <c r="B24" s="592"/>
      <c r="C24" s="592"/>
    </row>
    <row r="26" spans="1:23" x14ac:dyDescent="0.25">
      <c r="A26" s="37" t="s">
        <v>128</v>
      </c>
      <c r="B26" s="38" t="s">
        <v>129</v>
      </c>
      <c r="C26" s="20" t="s">
        <v>130</v>
      </c>
    </row>
    <row r="27" spans="1:23" x14ac:dyDescent="0.25">
      <c r="A27" s="47">
        <v>5</v>
      </c>
      <c r="B27" s="8">
        <v>1</v>
      </c>
      <c r="C27" s="9">
        <f>B27</f>
        <v>1</v>
      </c>
    </row>
    <row r="28" spans="1:23" x14ac:dyDescent="0.25">
      <c r="A28" s="47">
        <v>5.0999999999999996</v>
      </c>
      <c r="B28" s="8">
        <v>1</v>
      </c>
      <c r="C28" s="9">
        <f>B28+C27</f>
        <v>2</v>
      </c>
    </row>
    <row r="29" spans="1:23" x14ac:dyDescent="0.25">
      <c r="A29" s="47">
        <v>5.2</v>
      </c>
      <c r="B29" s="8">
        <v>3</v>
      </c>
      <c r="C29" s="9">
        <f>B29+C28</f>
        <v>5</v>
      </c>
    </row>
    <row r="30" spans="1:23" x14ac:dyDescent="0.25">
      <c r="A30" s="47">
        <v>5.5</v>
      </c>
      <c r="B30" s="8">
        <v>2</v>
      </c>
      <c r="C30" s="9">
        <f>B30+C29</f>
        <v>7</v>
      </c>
    </row>
    <row r="31" spans="1:23" x14ac:dyDescent="0.25">
      <c r="A31" s="47">
        <v>5.6</v>
      </c>
      <c r="B31" s="8">
        <v>1</v>
      </c>
      <c r="C31" s="9">
        <f>B31+C30</f>
        <v>8</v>
      </c>
    </row>
    <row r="32" spans="1:23" x14ac:dyDescent="0.25">
      <c r="A32" s="47">
        <v>5.7</v>
      </c>
      <c r="B32" s="8">
        <v>4</v>
      </c>
      <c r="C32" s="9">
        <f>B32+C31</f>
        <v>12</v>
      </c>
    </row>
    <row r="33" spans="1:3" x14ac:dyDescent="0.25">
      <c r="A33" s="48">
        <v>5.8</v>
      </c>
      <c r="B33" s="11">
        <v>3</v>
      </c>
      <c r="C33" s="12" t="e">
        <f>B33+#REF!</f>
        <v>#REF!</v>
      </c>
    </row>
    <row r="35" spans="1:3" x14ac:dyDescent="0.25">
      <c r="A35" s="592" t="s">
        <v>127</v>
      </c>
      <c r="B35" s="592"/>
      <c r="C35" s="592"/>
    </row>
    <row r="37" spans="1:3" x14ac:dyDescent="0.25">
      <c r="A37" s="37" t="str">
        <f>A26</f>
        <v>Score</v>
      </c>
      <c r="B37" s="38" t="s">
        <v>131</v>
      </c>
      <c r="C37" s="20" t="s">
        <v>87</v>
      </c>
    </row>
    <row r="38" spans="1:3" x14ac:dyDescent="0.25">
      <c r="A38" s="47">
        <f>A27</f>
        <v>5</v>
      </c>
      <c r="B38" s="8">
        <f>ROW(A27)</f>
        <v>27</v>
      </c>
      <c r="C38" s="9">
        <f>B27-1</f>
        <v>0</v>
      </c>
    </row>
    <row r="39" spans="1:3" x14ac:dyDescent="0.25">
      <c r="A39" s="47">
        <f t="shared" ref="A39:A52" ca="1" si="4">INDIRECT("R"&amp;B39&amp;"C"&amp;COLUMN(A39),FALSE)</f>
        <v>5.0999999999999996</v>
      </c>
      <c r="B39" s="8">
        <f t="shared" ref="B39:B52" si="5">IF(C38=0,B38+1,B38)</f>
        <v>28</v>
      </c>
      <c r="C39" s="9">
        <f t="shared" ref="C39:C52" ca="1" si="6">IF(C38=0,INDIRECT("R"&amp;B39&amp;"C"&amp;COLUMN(B39),FALSE)-1,C38-1)</f>
        <v>0</v>
      </c>
    </row>
    <row r="40" spans="1:3" x14ac:dyDescent="0.25">
      <c r="A40" s="47">
        <f t="shared" ca="1" si="4"/>
        <v>5.2</v>
      </c>
      <c r="B40" s="8">
        <f t="shared" ca="1" si="5"/>
        <v>29</v>
      </c>
      <c r="C40" s="9">
        <f t="shared" ca="1" si="6"/>
        <v>2</v>
      </c>
    </row>
    <row r="41" spans="1:3" x14ac:dyDescent="0.25">
      <c r="A41" s="47">
        <f t="shared" ca="1" si="4"/>
        <v>5.2</v>
      </c>
      <c r="B41" s="8">
        <f t="shared" ca="1" si="5"/>
        <v>29</v>
      </c>
      <c r="C41" s="9">
        <f t="shared" ca="1" si="6"/>
        <v>1</v>
      </c>
    </row>
    <row r="42" spans="1:3" x14ac:dyDescent="0.25">
      <c r="A42" s="47">
        <f t="shared" ca="1" si="4"/>
        <v>5.2</v>
      </c>
      <c r="B42" s="8">
        <f t="shared" ca="1" si="5"/>
        <v>29</v>
      </c>
      <c r="C42" s="9">
        <f t="shared" ca="1" si="6"/>
        <v>0</v>
      </c>
    </row>
    <row r="43" spans="1:3" x14ac:dyDescent="0.25">
      <c r="A43" s="47">
        <f t="shared" ca="1" si="4"/>
        <v>5.5</v>
      </c>
      <c r="B43" s="8">
        <f t="shared" ca="1" si="5"/>
        <v>30</v>
      </c>
      <c r="C43" s="9">
        <f t="shared" ca="1" si="6"/>
        <v>1</v>
      </c>
    </row>
    <row r="44" spans="1:3" x14ac:dyDescent="0.25">
      <c r="A44" s="47">
        <f t="shared" ca="1" si="4"/>
        <v>5.5</v>
      </c>
      <c r="B44" s="8">
        <f t="shared" ca="1" si="5"/>
        <v>30</v>
      </c>
      <c r="C44" s="9">
        <f t="shared" ca="1" si="6"/>
        <v>0</v>
      </c>
    </row>
    <row r="45" spans="1:3" x14ac:dyDescent="0.25">
      <c r="A45" s="47">
        <f t="shared" ca="1" si="4"/>
        <v>5.6</v>
      </c>
      <c r="B45" s="8">
        <f t="shared" ca="1" si="5"/>
        <v>31</v>
      </c>
      <c r="C45" s="9">
        <f t="shared" ca="1" si="6"/>
        <v>0</v>
      </c>
    </row>
    <row r="46" spans="1:3" x14ac:dyDescent="0.25">
      <c r="A46" s="47">
        <f t="shared" ca="1" si="4"/>
        <v>5.7</v>
      </c>
      <c r="B46" s="8">
        <f t="shared" ca="1" si="5"/>
        <v>32</v>
      </c>
      <c r="C46" s="9">
        <f t="shared" ca="1" si="6"/>
        <v>3</v>
      </c>
    </row>
    <row r="47" spans="1:3" x14ac:dyDescent="0.25">
      <c r="A47" s="47">
        <f t="shared" ca="1" si="4"/>
        <v>5.7</v>
      </c>
      <c r="B47" s="8">
        <f t="shared" ca="1" si="5"/>
        <v>32</v>
      </c>
      <c r="C47" s="9">
        <f t="shared" ca="1" si="6"/>
        <v>2</v>
      </c>
    </row>
    <row r="48" spans="1:3" x14ac:dyDescent="0.25">
      <c r="A48" s="47">
        <f t="shared" ca="1" si="4"/>
        <v>5.7</v>
      </c>
      <c r="B48" s="8">
        <f t="shared" ca="1" si="5"/>
        <v>32</v>
      </c>
      <c r="C48" s="9">
        <f t="shared" ca="1" si="6"/>
        <v>1</v>
      </c>
    </row>
    <row r="49" spans="1:3" x14ac:dyDescent="0.25">
      <c r="A49" s="47">
        <f t="shared" ca="1" si="4"/>
        <v>5.7</v>
      </c>
      <c r="B49" s="8">
        <f t="shared" ca="1" si="5"/>
        <v>32</v>
      </c>
      <c r="C49" s="9">
        <f t="shared" ca="1" si="6"/>
        <v>0</v>
      </c>
    </row>
    <row r="50" spans="1:3" x14ac:dyDescent="0.25">
      <c r="A50" s="47">
        <f t="shared" ca="1" si="4"/>
        <v>5.8</v>
      </c>
      <c r="B50" s="8">
        <f t="shared" ca="1" si="5"/>
        <v>33</v>
      </c>
      <c r="C50" s="9">
        <f t="shared" ca="1" si="6"/>
        <v>2</v>
      </c>
    </row>
    <row r="51" spans="1:3" x14ac:dyDescent="0.25">
      <c r="A51" s="47">
        <f t="shared" ca="1" si="4"/>
        <v>5.8</v>
      </c>
      <c r="B51" s="8">
        <f t="shared" ca="1" si="5"/>
        <v>33</v>
      </c>
      <c r="C51" s="9">
        <f t="shared" ca="1" si="6"/>
        <v>1</v>
      </c>
    </row>
    <row r="52" spans="1:3" x14ac:dyDescent="0.25">
      <c r="A52" s="48">
        <f t="shared" ca="1" si="4"/>
        <v>5.8</v>
      </c>
      <c r="B52" s="11">
        <f t="shared" ca="1" si="5"/>
        <v>33</v>
      </c>
      <c r="C52" s="12">
        <f t="shared" ca="1" si="6"/>
        <v>0</v>
      </c>
    </row>
  </sheetData>
  <mergeCells count="4">
    <mergeCell ref="A3:C3"/>
    <mergeCell ref="E3:G3"/>
    <mergeCell ref="A24:C24"/>
    <mergeCell ref="A35:C3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S33"/>
  <sheetViews>
    <sheetView workbookViewId="0"/>
  </sheetViews>
  <sheetFormatPr defaultRowHeight="15" x14ac:dyDescent="0.25"/>
  <sheetData>
    <row r="1" spans="1:19" x14ac:dyDescent="0.25">
      <c r="A1" s="1" t="s">
        <v>126</v>
      </c>
      <c r="M1" t="s">
        <v>748</v>
      </c>
      <c r="Q1" t="s">
        <v>749</v>
      </c>
    </row>
    <row r="2" spans="1:19" x14ac:dyDescent="0.25">
      <c r="A2" s="24"/>
      <c r="B2" s="24"/>
      <c r="C2" s="108"/>
      <c r="D2" s="24"/>
      <c r="E2" s="24"/>
    </row>
    <row r="3" spans="1:19" x14ac:dyDescent="0.25">
      <c r="A3" s="593" t="s">
        <v>69</v>
      </c>
      <c r="B3" s="593"/>
      <c r="C3" s="8"/>
      <c r="D3" s="226" t="s">
        <v>107</v>
      </c>
      <c r="E3" s="226" t="s">
        <v>87</v>
      </c>
      <c r="M3" s="19" t="s">
        <v>688</v>
      </c>
      <c r="N3" s="19" t="s">
        <v>99</v>
      </c>
      <c r="O3" s="19" t="s">
        <v>745</v>
      </c>
      <c r="Q3" t="s">
        <v>126</v>
      </c>
    </row>
    <row r="4" spans="1:19" x14ac:dyDescent="0.25">
      <c r="A4" s="5">
        <v>34</v>
      </c>
      <c r="B4" s="5">
        <v>20</v>
      </c>
      <c r="C4" s="8"/>
      <c r="D4" s="5">
        <v>20</v>
      </c>
      <c r="E4" s="5">
        <f t="array" ref="E4:E8">FREQUENCY(A4:B14,D4:D7)</f>
        <v>6</v>
      </c>
      <c r="M4" s="268" t="e">
        <f t="array" aca="1" ref="M4:O11" ca="1">FREQTABLE(A4:B14,15)</f>
        <v>#NAME?</v>
      </c>
      <c r="N4" s="283" t="e">
        <f ca="1"/>
        <v>#NAME?</v>
      </c>
      <c r="O4" s="270" t="e">
        <f ca="1"/>
        <v>#NAME?</v>
      </c>
    </row>
    <row r="5" spans="1:19" x14ac:dyDescent="0.25">
      <c r="A5" s="8">
        <v>45</v>
      </c>
      <c r="B5" s="8">
        <v>34</v>
      </c>
      <c r="C5" s="8"/>
      <c r="D5" s="8">
        <v>40</v>
      </c>
      <c r="E5" s="8">
        <v>10</v>
      </c>
      <c r="M5" s="166" t="e">
        <f ca="1"/>
        <v>#NAME?</v>
      </c>
      <c r="N5" s="8" t="e">
        <f ca="1"/>
        <v>#NAME?</v>
      </c>
      <c r="O5" s="167" t="e">
        <f ca="1"/>
        <v>#NAME?</v>
      </c>
      <c r="Q5" t="s">
        <v>746</v>
      </c>
      <c r="R5">
        <v>15</v>
      </c>
    </row>
    <row r="6" spans="1:19" x14ac:dyDescent="0.25">
      <c r="A6" s="8">
        <v>23</v>
      </c>
      <c r="B6" s="8">
        <v>29</v>
      </c>
      <c r="C6" s="8"/>
      <c r="D6" s="8">
        <v>60</v>
      </c>
      <c r="E6" s="8">
        <v>2</v>
      </c>
      <c r="M6" s="166" t="e">
        <f ca="1"/>
        <v>#NAME?</v>
      </c>
      <c r="N6" s="8" t="e">
        <f ca="1"/>
        <v>#NAME?</v>
      </c>
      <c r="O6" s="167" t="e">
        <f ca="1"/>
        <v>#NAME?</v>
      </c>
    </row>
    <row r="7" spans="1:19" x14ac:dyDescent="0.25">
      <c r="A7" s="8">
        <v>22</v>
      </c>
      <c r="B7" s="8">
        <v>12</v>
      </c>
      <c r="C7" s="8"/>
      <c r="D7" s="8">
        <v>80</v>
      </c>
      <c r="E7" s="8">
        <v>3</v>
      </c>
      <c r="M7" s="166" t="e">
        <f ca="1"/>
        <v>#NAME?</v>
      </c>
      <c r="N7" s="8" t="e">
        <f ca="1"/>
        <v>#NAME?</v>
      </c>
      <c r="O7" s="167" t="e">
        <f ca="1"/>
        <v>#NAME?</v>
      </c>
      <c r="Q7" s="282" t="s">
        <v>688</v>
      </c>
      <c r="R7" s="282" t="s">
        <v>99</v>
      </c>
      <c r="S7" s="282" t="s">
        <v>745</v>
      </c>
    </row>
    <row r="8" spans="1:19" x14ac:dyDescent="0.25">
      <c r="A8" s="8">
        <v>7</v>
      </c>
      <c r="B8" s="8">
        <v>72</v>
      </c>
      <c r="C8" s="8"/>
      <c r="D8" s="133" t="s">
        <v>108</v>
      </c>
      <c r="E8" s="11">
        <v>1</v>
      </c>
      <c r="M8" s="166" t="e">
        <f ca="1"/>
        <v>#NAME?</v>
      </c>
      <c r="N8" s="8" t="e">
        <f ca="1"/>
        <v>#NAME?</v>
      </c>
      <c r="O8" s="167" t="e">
        <f ca="1"/>
        <v>#NAME?</v>
      </c>
      <c r="Q8">
        <f t="shared" ref="Q8:Q13" si="0">Q9-$R$5</f>
        <v>0</v>
      </c>
    </row>
    <row r="9" spans="1:19" x14ac:dyDescent="0.25">
      <c r="A9" s="8">
        <v>34</v>
      </c>
      <c r="B9" s="8">
        <v>23</v>
      </c>
      <c r="C9" s="8"/>
      <c r="D9" s="8"/>
      <c r="E9" s="8"/>
      <c r="M9" s="166" t="e">
        <f ca="1"/>
        <v>#NAME?</v>
      </c>
      <c r="N9" s="8" t="e">
        <f ca="1"/>
        <v>#NAME?</v>
      </c>
      <c r="O9" s="167" t="e">
        <f ca="1"/>
        <v>#NAME?</v>
      </c>
      <c r="Q9">
        <f t="shared" si="0"/>
        <v>15</v>
      </c>
      <c r="R9">
        <f t="shared" ref="R9:R14" si="1">S9-S8</f>
        <v>5</v>
      </c>
      <c r="S9">
        <f t="shared" ref="S9:S14" si="2">COUNTIF($A$4:$B$14,"&lt;="&amp;Q9)</f>
        <v>5</v>
      </c>
    </row>
    <row r="10" spans="1:19" x14ac:dyDescent="0.25">
      <c r="A10" s="8">
        <v>9</v>
      </c>
      <c r="B10" s="8">
        <v>10</v>
      </c>
      <c r="C10" s="8"/>
      <c r="D10" s="8"/>
      <c r="E10" s="8"/>
      <c r="M10" s="166" t="e">
        <f ca="1"/>
        <v>#NAME?</v>
      </c>
      <c r="N10" s="8" t="e">
        <f ca="1"/>
        <v>#NAME?</v>
      </c>
      <c r="O10" s="167" t="e">
        <f ca="1"/>
        <v>#NAME?</v>
      </c>
      <c r="Q10">
        <f t="shared" si="0"/>
        <v>30</v>
      </c>
      <c r="R10">
        <f t="shared" si="1"/>
        <v>8</v>
      </c>
      <c r="S10">
        <f t="shared" si="2"/>
        <v>13</v>
      </c>
    </row>
    <row r="11" spans="1:19" x14ac:dyDescent="0.25">
      <c r="A11" s="8">
        <v>66</v>
      </c>
      <c r="B11" s="8">
        <v>14</v>
      </c>
      <c r="C11" s="8"/>
      <c r="D11" s="8"/>
      <c r="E11" s="8"/>
      <c r="M11" s="148" t="e">
        <f ca="1"/>
        <v>#NAME?</v>
      </c>
      <c r="N11" s="276" t="e">
        <f ca="1"/>
        <v>#NAME?</v>
      </c>
      <c r="O11" s="153" t="e">
        <f ca="1"/>
        <v>#NAME?</v>
      </c>
      <c r="Q11">
        <f t="shared" si="0"/>
        <v>45</v>
      </c>
      <c r="R11">
        <f t="shared" si="1"/>
        <v>5</v>
      </c>
      <c r="S11">
        <f t="shared" si="2"/>
        <v>18</v>
      </c>
    </row>
    <row r="12" spans="1:19" x14ac:dyDescent="0.25">
      <c r="A12" s="8">
        <v>29</v>
      </c>
      <c r="B12" s="8">
        <v>23</v>
      </c>
      <c r="C12" s="8"/>
      <c r="D12" s="8"/>
      <c r="E12" s="8"/>
      <c r="Q12">
        <f t="shared" si="0"/>
        <v>60</v>
      </c>
      <c r="R12">
        <f t="shared" si="1"/>
        <v>0</v>
      </c>
      <c r="S12">
        <f t="shared" si="2"/>
        <v>18</v>
      </c>
    </row>
    <row r="13" spans="1:19" x14ac:dyDescent="0.25">
      <c r="A13" s="8">
        <v>67</v>
      </c>
      <c r="B13" s="8">
        <v>24</v>
      </c>
      <c r="C13" s="8"/>
      <c r="D13" s="8"/>
      <c r="E13" s="8"/>
      <c r="Q13">
        <f t="shared" si="0"/>
        <v>75</v>
      </c>
      <c r="R13">
        <f t="shared" si="1"/>
        <v>3</v>
      </c>
      <c r="S13">
        <f t="shared" si="2"/>
        <v>21</v>
      </c>
    </row>
    <row r="14" spans="1:19" x14ac:dyDescent="0.25">
      <c r="A14" s="11">
        <v>44</v>
      </c>
      <c r="B14" s="11">
        <v>90</v>
      </c>
      <c r="C14" s="8"/>
      <c r="D14" s="8"/>
      <c r="E14" s="8"/>
      <c r="Q14" s="276">
        <f>MAX(A4:B14)</f>
        <v>90</v>
      </c>
      <c r="R14" s="276">
        <f t="shared" si="1"/>
        <v>1</v>
      </c>
      <c r="S14" s="276">
        <f t="shared" si="2"/>
        <v>22</v>
      </c>
    </row>
    <row r="15" spans="1:19" x14ac:dyDescent="0.25">
      <c r="A15" s="8"/>
      <c r="B15" s="8"/>
      <c r="C15" s="8"/>
      <c r="D15" s="8"/>
      <c r="E15" s="8"/>
    </row>
    <row r="16" spans="1:19" x14ac:dyDescent="0.25">
      <c r="A16" s="1" t="s">
        <v>109</v>
      </c>
      <c r="B16" s="1"/>
      <c r="C16" s="1"/>
      <c r="D16" s="1"/>
      <c r="E16" s="1"/>
    </row>
    <row r="17" spans="1:19" ht="15.75" thickBot="1" x14ac:dyDescent="0.3"/>
    <row r="18" spans="1:19" x14ac:dyDescent="0.25">
      <c r="A18" s="26" t="s">
        <v>110</v>
      </c>
      <c r="B18" s="26" t="s">
        <v>106</v>
      </c>
    </row>
    <row r="19" spans="1:19" x14ac:dyDescent="0.25">
      <c r="A19" s="28">
        <v>20</v>
      </c>
      <c r="B19" s="27">
        <v>6</v>
      </c>
    </row>
    <row r="20" spans="1:19" x14ac:dyDescent="0.25">
      <c r="A20" s="28">
        <v>40</v>
      </c>
      <c r="B20" s="27">
        <v>10</v>
      </c>
    </row>
    <row r="21" spans="1:19" x14ac:dyDescent="0.25">
      <c r="A21" s="28">
        <v>60</v>
      </c>
      <c r="B21" s="27">
        <v>2</v>
      </c>
      <c r="M21" t="s">
        <v>748</v>
      </c>
      <c r="Q21" t="s">
        <v>126</v>
      </c>
    </row>
    <row r="22" spans="1:19" x14ac:dyDescent="0.25">
      <c r="A22" s="28">
        <v>80</v>
      </c>
      <c r="B22" s="27">
        <v>3</v>
      </c>
      <c r="M22" t="s">
        <v>813</v>
      </c>
    </row>
    <row r="23" spans="1:19" ht="15.75" thickBot="1" x14ac:dyDescent="0.3">
      <c r="A23" s="30" t="s">
        <v>111</v>
      </c>
      <c r="B23" s="30">
        <v>1</v>
      </c>
      <c r="Q23" t="s">
        <v>746</v>
      </c>
      <c r="R23">
        <v>15</v>
      </c>
    </row>
    <row r="24" spans="1:19" x14ac:dyDescent="0.25">
      <c r="M24" s="19" t="s">
        <v>688</v>
      </c>
      <c r="N24" s="19" t="s">
        <v>99</v>
      </c>
      <c r="O24" s="19" t="s">
        <v>745</v>
      </c>
    </row>
    <row r="25" spans="1:19" x14ac:dyDescent="0.25">
      <c r="M25" s="268" t="e">
        <f t="array" aca="1" ref="M25:O32" ca="1">FREQTABLE(A4:B14,15,100)</f>
        <v>#NAME?</v>
      </c>
      <c r="N25" s="283" t="e">
        <f ca="1"/>
        <v>#NAME?</v>
      </c>
      <c r="O25" s="270" t="e">
        <f ca="1"/>
        <v>#NAME?</v>
      </c>
      <c r="Q25" s="306" t="s">
        <v>688</v>
      </c>
      <c r="R25" s="306" t="s">
        <v>99</v>
      </c>
      <c r="S25" s="306" t="s">
        <v>745</v>
      </c>
    </row>
    <row r="26" spans="1:19" x14ac:dyDescent="0.25">
      <c r="M26" s="166" t="e">
        <f ca="1"/>
        <v>#NAME?</v>
      </c>
      <c r="N26" s="8" t="e">
        <f ca="1"/>
        <v>#NAME?</v>
      </c>
      <c r="O26" s="167" t="e">
        <f ca="1"/>
        <v>#NAME?</v>
      </c>
      <c r="Q26">
        <f t="shared" ref="Q26:Q31" si="3">Q27-$R$23</f>
        <v>-5</v>
      </c>
    </row>
    <row r="27" spans="1:19" x14ac:dyDescent="0.25">
      <c r="M27" s="166" t="e">
        <f ca="1"/>
        <v>#NAME?</v>
      </c>
      <c r="N27" s="8" t="e">
        <f ca="1"/>
        <v>#NAME?</v>
      </c>
      <c r="O27" s="167" t="e">
        <f ca="1"/>
        <v>#NAME?</v>
      </c>
      <c r="Q27">
        <f t="shared" si="3"/>
        <v>10</v>
      </c>
      <c r="R27">
        <f>S27-S26</f>
        <v>3</v>
      </c>
      <c r="S27">
        <f>COUNTIF($A$4:$B$14,"&lt;="&amp;Q27)</f>
        <v>3</v>
      </c>
    </row>
    <row r="28" spans="1:19" x14ac:dyDescent="0.25">
      <c r="M28" s="166" t="e">
        <f ca="1"/>
        <v>#NAME?</v>
      </c>
      <c r="N28" s="8" t="e">
        <f ca="1"/>
        <v>#NAME?</v>
      </c>
      <c r="O28" s="167" t="e">
        <f ca="1"/>
        <v>#NAME?</v>
      </c>
      <c r="Q28">
        <f t="shared" si="3"/>
        <v>25</v>
      </c>
      <c r="R28">
        <f t="shared" ref="R28:R33" si="4">S28-S27</f>
        <v>8</v>
      </c>
      <c r="S28">
        <f t="shared" ref="S28:S33" si="5">COUNTIF($A$4:$B$14,"&lt;="&amp;Q28)</f>
        <v>11</v>
      </c>
    </row>
    <row r="29" spans="1:19" x14ac:dyDescent="0.25">
      <c r="M29" s="166" t="e">
        <f ca="1"/>
        <v>#NAME?</v>
      </c>
      <c r="N29" s="8" t="e">
        <f ca="1"/>
        <v>#NAME?</v>
      </c>
      <c r="O29" s="167" t="e">
        <f ca="1"/>
        <v>#NAME?</v>
      </c>
      <c r="Q29">
        <f t="shared" si="3"/>
        <v>40</v>
      </c>
      <c r="R29">
        <f t="shared" si="4"/>
        <v>5</v>
      </c>
      <c r="S29">
        <f t="shared" si="5"/>
        <v>16</v>
      </c>
    </row>
    <row r="30" spans="1:19" x14ac:dyDescent="0.25">
      <c r="M30" s="166" t="e">
        <f ca="1"/>
        <v>#NAME?</v>
      </c>
      <c r="N30" s="8" t="e">
        <f ca="1"/>
        <v>#NAME?</v>
      </c>
      <c r="O30" s="167" t="e">
        <f ca="1"/>
        <v>#NAME?</v>
      </c>
      <c r="Q30">
        <f t="shared" si="3"/>
        <v>55</v>
      </c>
      <c r="R30">
        <f t="shared" si="4"/>
        <v>2</v>
      </c>
      <c r="S30">
        <f t="shared" si="5"/>
        <v>18</v>
      </c>
    </row>
    <row r="31" spans="1:19" x14ac:dyDescent="0.25">
      <c r="M31" s="166" t="e">
        <f ca="1"/>
        <v>#NAME?</v>
      </c>
      <c r="N31" s="8" t="e">
        <f ca="1"/>
        <v>#NAME?</v>
      </c>
      <c r="O31" s="167" t="e">
        <f ca="1"/>
        <v>#NAME?</v>
      </c>
      <c r="Q31">
        <f t="shared" si="3"/>
        <v>70</v>
      </c>
      <c r="R31">
        <f t="shared" si="4"/>
        <v>2</v>
      </c>
      <c r="S31">
        <f t="shared" si="5"/>
        <v>20</v>
      </c>
    </row>
    <row r="32" spans="1:19" x14ac:dyDescent="0.25">
      <c r="M32" s="148" t="e">
        <f ca="1"/>
        <v>#NAME?</v>
      </c>
      <c r="N32" s="276" t="e">
        <f ca="1"/>
        <v>#NAME?</v>
      </c>
      <c r="O32" s="153" t="e">
        <f ca="1"/>
        <v>#NAME?</v>
      </c>
      <c r="Q32">
        <f>Q33-$R$23</f>
        <v>85</v>
      </c>
      <c r="R32">
        <f t="shared" si="4"/>
        <v>1</v>
      </c>
      <c r="S32">
        <f t="shared" si="5"/>
        <v>21</v>
      </c>
    </row>
    <row r="33" spans="17:19" x14ac:dyDescent="0.25">
      <c r="Q33" s="276">
        <v>100</v>
      </c>
      <c r="R33" s="276">
        <f t="shared" si="4"/>
        <v>1</v>
      </c>
      <c r="S33" s="276">
        <f t="shared" si="5"/>
        <v>22</v>
      </c>
    </row>
  </sheetData>
  <sortState ref="M6:M9">
    <sortCondition ref="M6"/>
  </sortState>
  <mergeCells count="1">
    <mergeCell ref="A3:B3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N29"/>
  <sheetViews>
    <sheetView workbookViewId="0"/>
  </sheetViews>
  <sheetFormatPr defaultRowHeight="15" x14ac:dyDescent="0.25"/>
  <sheetData>
    <row r="1" spans="1:14" x14ac:dyDescent="0.25">
      <c r="A1" s="1" t="s">
        <v>141</v>
      </c>
      <c r="B1" s="1"/>
      <c r="C1" s="1"/>
      <c r="D1" s="1"/>
      <c r="J1" t="s">
        <v>823</v>
      </c>
    </row>
    <row r="3" spans="1:14" x14ac:dyDescent="0.25">
      <c r="A3" s="38" t="s">
        <v>3</v>
      </c>
      <c r="B3" s="38" t="s">
        <v>4</v>
      </c>
      <c r="C3" s="38" t="s">
        <v>5</v>
      </c>
      <c r="D3" s="19"/>
      <c r="E3" s="19"/>
      <c r="F3" s="38" t="s">
        <v>3</v>
      </c>
      <c r="G3" s="38" t="s">
        <v>4</v>
      </c>
      <c r="H3" s="38" t="s">
        <v>5</v>
      </c>
      <c r="L3" s="38" t="s">
        <v>3</v>
      </c>
      <c r="M3" s="38" t="s">
        <v>4</v>
      </c>
      <c r="N3" s="38" t="s">
        <v>5</v>
      </c>
    </row>
    <row r="4" spans="1:14" x14ac:dyDescent="0.25">
      <c r="A4">
        <v>1020</v>
      </c>
      <c r="B4">
        <v>840</v>
      </c>
      <c r="C4">
        <v>1430</v>
      </c>
      <c r="E4" t="s">
        <v>142</v>
      </c>
      <c r="F4">
        <f>MIN(A4:A13)</f>
        <v>380</v>
      </c>
      <c r="G4">
        <f>MIN(B4:B13)</f>
        <v>300</v>
      </c>
      <c r="H4">
        <f>MIN(C4:C13)</f>
        <v>430</v>
      </c>
      <c r="K4" t="s">
        <v>142</v>
      </c>
      <c r="L4">
        <f>MIN(A4:A13)</f>
        <v>380</v>
      </c>
      <c r="M4">
        <f>MIN(B4:B13)</f>
        <v>300</v>
      </c>
      <c r="N4">
        <f>MIN(C4:C13)</f>
        <v>430</v>
      </c>
    </row>
    <row r="5" spans="1:14" x14ac:dyDescent="0.25">
      <c r="A5">
        <v>1560</v>
      </c>
      <c r="B5">
        <v>940</v>
      </c>
      <c r="C5">
        <v>1750</v>
      </c>
      <c r="E5" t="s">
        <v>143</v>
      </c>
      <c r="F5">
        <f>QUARTILE(A4:A13,1)-F4</f>
        <v>142.5</v>
      </c>
      <c r="G5">
        <f>QUARTILE(B4:B13,1)-G4</f>
        <v>185</v>
      </c>
      <c r="H5">
        <f>QUARTILE(C4:C13,1)-H4</f>
        <v>342.5</v>
      </c>
      <c r="K5" t="s">
        <v>143</v>
      </c>
      <c r="L5">
        <f>QUARTILE(A4:A13,1)-L4</f>
        <v>142.5</v>
      </c>
      <c r="M5">
        <f>QUARTILE(B4:B13,1)-M4</f>
        <v>185</v>
      </c>
      <c r="N5">
        <f>QUARTILE(C4:C13,1)-N4</f>
        <v>342.5</v>
      </c>
    </row>
    <row r="6" spans="1:14" x14ac:dyDescent="0.25">
      <c r="A6">
        <v>560</v>
      </c>
      <c r="B6">
        <v>780</v>
      </c>
      <c r="C6">
        <v>870</v>
      </c>
      <c r="E6" t="s">
        <v>144</v>
      </c>
      <c r="F6">
        <f>MEDIAN(A4:A13)-QUARTILE(A4:A13,1)</f>
        <v>202.5</v>
      </c>
      <c r="G6">
        <f>MEDIAN(B4:B13)-QUARTILE(B4:B13,1)</f>
        <v>220</v>
      </c>
      <c r="H6">
        <f>MEDIAN(C4:C13)-QUARTILE(C4:C13,1)</f>
        <v>132.5</v>
      </c>
      <c r="K6" t="s">
        <v>144</v>
      </c>
      <c r="L6">
        <f>MEDIAN(A4:A13)-QUARTILE(A4:A13,1)</f>
        <v>202.5</v>
      </c>
      <c r="M6">
        <f>MEDIAN(B4:B13)-QUARTILE(B4:B13,1)</f>
        <v>220</v>
      </c>
      <c r="N6">
        <f>MEDIAN(C4:C13)-QUARTILE(C4:C13,1)</f>
        <v>132.5</v>
      </c>
    </row>
    <row r="7" spans="1:14" x14ac:dyDescent="0.25">
      <c r="A7">
        <v>780</v>
      </c>
      <c r="B7">
        <v>650</v>
      </c>
      <c r="C7">
        <v>920</v>
      </c>
      <c r="E7" t="s">
        <v>145</v>
      </c>
      <c r="F7">
        <f>QUARTILE(A4:A13,3)-MEDIAN(A4:A13)</f>
        <v>237.5</v>
      </c>
      <c r="G7">
        <f>QUARTILE(B4:B13,3)-MEDIAN(B4:B13)</f>
        <v>120</v>
      </c>
      <c r="H7">
        <f>QUARTILE(C4:C13,3)-MEDIAN(C4:C13)</f>
        <v>332.5</v>
      </c>
      <c r="K7" t="s">
        <v>145</v>
      </c>
      <c r="L7">
        <f>QUARTILE(A4:A13,3)-MEDIAN(A4:A13)</f>
        <v>237.5</v>
      </c>
      <c r="M7">
        <f>QUARTILE(B4:B13,3)-MEDIAN(B4:B13)</f>
        <v>120</v>
      </c>
      <c r="N7">
        <f>QUARTILE(C4:C13,3)-MEDIAN(C4:C13)</f>
        <v>332.5</v>
      </c>
    </row>
    <row r="8" spans="1:14" x14ac:dyDescent="0.25">
      <c r="A8">
        <v>990</v>
      </c>
      <c r="B8">
        <v>720</v>
      </c>
      <c r="C8">
        <v>1300</v>
      </c>
      <c r="E8" t="s">
        <v>146</v>
      </c>
      <c r="F8">
        <f>MAX(A4:A13)-QUARTILE(A4:A13,3)</f>
        <v>597.5</v>
      </c>
      <c r="G8">
        <f>MAX(B4:B13)-QUARTILE(B4:B13,3)</f>
        <v>1025</v>
      </c>
      <c r="H8">
        <f>MAX(C4:C13)-QUARTILE(C4:C13,3)</f>
        <v>512.5</v>
      </c>
      <c r="K8" t="s">
        <v>146</v>
      </c>
      <c r="L8">
        <f>MAX(A4:A13)-QUARTILE(A4:A13,3)</f>
        <v>597.5</v>
      </c>
      <c r="M8">
        <f>MAX(B4:B13)-QUARTILE(B4:B13,3)</f>
        <v>1025</v>
      </c>
      <c r="N8">
        <f>MAX(C4:C13)-QUARTILE(C4:C13,3)</f>
        <v>512.5</v>
      </c>
    </row>
    <row r="9" spans="1:14" x14ac:dyDescent="0.25">
      <c r="A9">
        <v>670</v>
      </c>
      <c r="B9">
        <v>430</v>
      </c>
      <c r="C9">
        <v>890</v>
      </c>
      <c r="E9" t="s">
        <v>75</v>
      </c>
      <c r="F9" s="276">
        <f>AVERAGE(A4:A13)</f>
        <v>784</v>
      </c>
      <c r="G9" s="276">
        <f>AVERAGE(B4:B13)</f>
        <v>756</v>
      </c>
      <c r="H9" s="276">
        <f>AVERAGE(C4:C13)</f>
        <v>1010</v>
      </c>
    </row>
    <row r="10" spans="1:14" x14ac:dyDescent="0.25">
      <c r="A10">
        <v>510</v>
      </c>
      <c r="B10">
        <v>1850</v>
      </c>
      <c r="C10">
        <v>740</v>
      </c>
    </row>
    <row r="11" spans="1:14" x14ac:dyDescent="0.25">
      <c r="A11">
        <v>490</v>
      </c>
      <c r="B11">
        <v>300</v>
      </c>
      <c r="C11">
        <v>720</v>
      </c>
    </row>
    <row r="12" spans="1:14" x14ac:dyDescent="0.25">
      <c r="A12">
        <v>380</v>
      </c>
      <c r="B12">
        <v>360</v>
      </c>
      <c r="C12">
        <v>430</v>
      </c>
    </row>
    <row r="13" spans="1:14" x14ac:dyDescent="0.25">
      <c r="A13" s="11">
        <v>880</v>
      </c>
      <c r="B13" s="11">
        <v>690</v>
      </c>
      <c r="C13" s="11">
        <v>1050</v>
      </c>
    </row>
    <row r="19" spans="5:10" x14ac:dyDescent="0.25">
      <c r="J19" t="s">
        <v>1237</v>
      </c>
    </row>
    <row r="21" spans="5:10" x14ac:dyDescent="0.25">
      <c r="E21" t="s">
        <v>699</v>
      </c>
    </row>
    <row r="23" spans="5:10" x14ac:dyDescent="0.25">
      <c r="F23" s="126" t="str">
        <f>A3</f>
        <v>Brand A</v>
      </c>
      <c r="G23" s="126" t="str">
        <f>B3</f>
        <v>Brand B</v>
      </c>
      <c r="H23" s="126" t="str">
        <f>C3</f>
        <v>Brand C</v>
      </c>
    </row>
    <row r="24" spans="5:10" x14ac:dyDescent="0.25">
      <c r="E24" t="s">
        <v>142</v>
      </c>
      <c r="F24" s="316">
        <f>MIN(A4:A13)</f>
        <v>380</v>
      </c>
      <c r="G24" s="314">
        <f>MIN(B4:B13)</f>
        <v>300</v>
      </c>
      <c r="H24" s="317">
        <f>MIN(C4:C13)</f>
        <v>430</v>
      </c>
    </row>
    <row r="25" spans="5:10" x14ac:dyDescent="0.25">
      <c r="E25" t="s">
        <v>143</v>
      </c>
      <c r="F25" s="166">
        <f>_xlfn.QUARTILE.EXC(A4:A13,1)-F24</f>
        <v>125</v>
      </c>
      <c r="G25" s="8">
        <f>_xlfn.QUARTILE.EXC(B4:B13,1)-G24</f>
        <v>112.5</v>
      </c>
      <c r="H25" s="167">
        <f>_xlfn.QUARTILE.EXC(C4:C13,1)-H24</f>
        <v>305</v>
      </c>
    </row>
    <row r="26" spans="5:10" x14ac:dyDescent="0.25">
      <c r="E26" t="s">
        <v>144</v>
      </c>
      <c r="F26" s="166">
        <f>MEDIAN(A4:A13)-_xlfn.QUARTILE.EXC(A4:A13,1)</f>
        <v>220</v>
      </c>
      <c r="G26" s="8">
        <f>MEDIAN(B4:B13)-_xlfn.QUARTILE.EXC(B4:B13,1)</f>
        <v>292.5</v>
      </c>
      <c r="H26" s="167">
        <f>MEDIAN(C4:C13)-_xlfn.QUARTILE.EXC(C4:C13,1)</f>
        <v>170</v>
      </c>
    </row>
    <row r="27" spans="5:10" x14ac:dyDescent="0.25">
      <c r="E27" t="s">
        <v>145</v>
      </c>
      <c r="F27" s="166">
        <f>_xlfn.QUARTILE.EXC(A4:A13,3)-MEDIAN(A4:A13)</f>
        <v>272.5</v>
      </c>
      <c r="G27" s="8">
        <f>_xlfn.QUARTILE.EXC(B4:B13,3)-MEDIAN(B4:B13)</f>
        <v>160</v>
      </c>
      <c r="H27" s="167">
        <f>_xlfn.QUARTILE.EXC(C4:C13,3)-MEDIAN(C4:C13)</f>
        <v>427.5</v>
      </c>
    </row>
    <row r="28" spans="5:10" x14ac:dyDescent="0.25">
      <c r="E28" t="s">
        <v>146</v>
      </c>
      <c r="F28" s="166">
        <f>MAX(A4:A13)-_xlfn.QUARTILE.EXC(A4:A13,3)</f>
        <v>562.5</v>
      </c>
      <c r="G28" s="8">
        <f>MAX(B4:B13)-_xlfn.QUARTILE.EXC(B4:B13,3)</f>
        <v>985</v>
      </c>
      <c r="H28" s="167">
        <f>MAX(C4:C13)-_xlfn.QUARTILE.EXC(C4:C13,3)</f>
        <v>417.5</v>
      </c>
    </row>
    <row r="29" spans="5:10" x14ac:dyDescent="0.25">
      <c r="E29" t="s">
        <v>75</v>
      </c>
      <c r="F29" s="148">
        <f>AVERAGE(A4:A13)</f>
        <v>784</v>
      </c>
      <c r="G29" s="276">
        <f>AVERAGE(B4:B13)</f>
        <v>756</v>
      </c>
      <c r="H29" s="153">
        <f>AVERAGE(C4:C13)</f>
        <v>1010</v>
      </c>
    </row>
  </sheetData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H27"/>
  <sheetViews>
    <sheetView workbookViewId="0"/>
  </sheetViews>
  <sheetFormatPr defaultRowHeight="15" x14ac:dyDescent="0.25"/>
  <sheetData>
    <row r="1" spans="1:8" x14ac:dyDescent="0.25">
      <c r="A1" s="1" t="s">
        <v>147</v>
      </c>
      <c r="B1" s="1"/>
      <c r="C1" s="1"/>
      <c r="D1" s="1"/>
      <c r="F1" t="s">
        <v>823</v>
      </c>
    </row>
    <row r="3" spans="1:8" x14ac:dyDescent="0.25">
      <c r="A3" s="38" t="s">
        <v>3</v>
      </c>
      <c r="B3" s="38" t="s">
        <v>4</v>
      </c>
      <c r="C3" s="38" t="s">
        <v>5</v>
      </c>
      <c r="D3" s="19"/>
      <c r="E3" s="19"/>
      <c r="F3" s="38" t="s">
        <v>3</v>
      </c>
      <c r="G3" s="38" t="s">
        <v>4</v>
      </c>
      <c r="H3" s="38" t="s">
        <v>5</v>
      </c>
    </row>
    <row r="4" spans="1:8" x14ac:dyDescent="0.25">
      <c r="A4">
        <v>1020</v>
      </c>
      <c r="B4">
        <v>840</v>
      </c>
      <c r="C4">
        <v>1430</v>
      </c>
      <c r="E4" t="s">
        <v>148</v>
      </c>
      <c r="F4">
        <f>QUARTILE(A4:A13,1)</f>
        <v>522.5</v>
      </c>
      <c r="G4">
        <f>QUARTILE(B4:B13,1)</f>
        <v>485</v>
      </c>
      <c r="H4">
        <f>QUARTILE(C4:C13,1)</f>
        <v>772.5</v>
      </c>
    </row>
    <row r="5" spans="1:8" x14ac:dyDescent="0.25">
      <c r="A5">
        <v>1560</v>
      </c>
      <c r="B5">
        <v>940</v>
      </c>
      <c r="C5">
        <v>1750</v>
      </c>
      <c r="E5" t="s">
        <v>144</v>
      </c>
      <c r="F5">
        <f>MEDIAN(A4:A13)-F4</f>
        <v>202.5</v>
      </c>
      <c r="G5">
        <f>MEDIAN(B4:B13)-G4</f>
        <v>220</v>
      </c>
      <c r="H5">
        <f>MEDIAN(C4:C13)-H4</f>
        <v>132.5</v>
      </c>
    </row>
    <row r="6" spans="1:8" x14ac:dyDescent="0.25">
      <c r="A6">
        <v>560</v>
      </c>
      <c r="B6">
        <v>780</v>
      </c>
      <c r="C6">
        <v>870</v>
      </c>
      <c r="E6" t="s">
        <v>145</v>
      </c>
      <c r="F6">
        <f>QUARTILE(A4:A13,3)-MEDIAN(A4:A13)</f>
        <v>237.5</v>
      </c>
      <c r="G6">
        <f>QUARTILE(B4:B13,3)-MEDIAN(B4:B13)</f>
        <v>120</v>
      </c>
      <c r="H6">
        <f>QUARTILE(C4:C13,3)-MEDIAN(C4:C13)</f>
        <v>332.5</v>
      </c>
    </row>
    <row r="7" spans="1:8" x14ac:dyDescent="0.25">
      <c r="A7">
        <v>780</v>
      </c>
      <c r="B7">
        <v>650</v>
      </c>
      <c r="C7">
        <v>920</v>
      </c>
      <c r="E7" t="s">
        <v>143</v>
      </c>
      <c r="F7">
        <f>F4-MIN(A4:A13)</f>
        <v>142.5</v>
      </c>
      <c r="G7">
        <f>G4-MIN(B4:B13)</f>
        <v>785</v>
      </c>
      <c r="H7">
        <f>H4-MIN(C4:C13)</f>
        <v>342.5</v>
      </c>
    </row>
    <row r="8" spans="1:8" x14ac:dyDescent="0.25">
      <c r="A8">
        <v>990</v>
      </c>
      <c r="B8">
        <v>720</v>
      </c>
      <c r="C8">
        <v>1300</v>
      </c>
      <c r="E8" t="s">
        <v>146</v>
      </c>
      <c r="F8">
        <f>MAX(A4:A13)-QUARTILE(A4:A13,3)</f>
        <v>597.5</v>
      </c>
      <c r="G8">
        <f>MAX(B4:B13)-QUARTILE(B4:B13,3)</f>
        <v>1025</v>
      </c>
      <c r="H8">
        <f>MAX(C4:C13)-QUARTILE(C4:C13,3)</f>
        <v>512.5</v>
      </c>
    </row>
    <row r="9" spans="1:8" x14ac:dyDescent="0.25">
      <c r="A9">
        <v>670</v>
      </c>
      <c r="B9">
        <v>430</v>
      </c>
      <c r="C9">
        <v>890</v>
      </c>
    </row>
    <row r="10" spans="1:8" x14ac:dyDescent="0.25">
      <c r="A10">
        <v>510</v>
      </c>
      <c r="B10">
        <v>1850</v>
      </c>
      <c r="C10">
        <v>740</v>
      </c>
    </row>
    <row r="11" spans="1:8" x14ac:dyDescent="0.25">
      <c r="A11">
        <v>490</v>
      </c>
      <c r="B11">
        <v>-300</v>
      </c>
      <c r="C11">
        <v>720</v>
      </c>
    </row>
    <row r="12" spans="1:8" x14ac:dyDescent="0.25">
      <c r="A12">
        <v>380</v>
      </c>
      <c r="B12">
        <v>360</v>
      </c>
      <c r="C12">
        <v>430</v>
      </c>
    </row>
    <row r="13" spans="1:8" x14ac:dyDescent="0.25">
      <c r="A13" s="11">
        <v>880</v>
      </c>
      <c r="B13" s="11">
        <v>690</v>
      </c>
      <c r="C13" s="11">
        <v>1050</v>
      </c>
    </row>
    <row r="20" spans="5:8" x14ac:dyDescent="0.25">
      <c r="F20" t="s">
        <v>824</v>
      </c>
    </row>
    <row r="22" spans="5:8" x14ac:dyDescent="0.25">
      <c r="E22" s="19"/>
      <c r="F22" s="38" t="s">
        <v>3</v>
      </c>
      <c r="G22" s="38" t="s">
        <v>4</v>
      </c>
      <c r="H22" s="38" t="s">
        <v>5</v>
      </c>
    </row>
    <row r="23" spans="5:8" x14ac:dyDescent="0.25">
      <c r="E23" t="s">
        <v>148</v>
      </c>
      <c r="F23">
        <f>_xlfn.QUARTILE.EXC(A4:A13,1)</f>
        <v>505</v>
      </c>
      <c r="G23">
        <f>_xlfn.QUARTILE.EXC(B4:B13,1)</f>
        <v>412.5</v>
      </c>
      <c r="H23">
        <f>_xlfn.QUARTILE.EXC(C4:C13,1)</f>
        <v>735</v>
      </c>
    </row>
    <row r="24" spans="5:8" x14ac:dyDescent="0.25">
      <c r="E24" t="s">
        <v>144</v>
      </c>
      <c r="F24">
        <f>MEDIAN(A4:A13)-F23</f>
        <v>220</v>
      </c>
      <c r="G24">
        <f>MEDIAN(B4:B13)-G23</f>
        <v>292.5</v>
      </c>
      <c r="H24">
        <f>MEDIAN(C4:C13)-H23</f>
        <v>170</v>
      </c>
    </row>
    <row r="25" spans="5:8" x14ac:dyDescent="0.25">
      <c r="E25" t="s">
        <v>145</v>
      </c>
      <c r="F25">
        <f>_xlfn.QUARTILE.EXC(A4:A13,3)-MEDIAN(A4:A13)</f>
        <v>272.5</v>
      </c>
      <c r="G25">
        <f>_xlfn.QUARTILE.EXC(B4:B13,3)-MEDIAN(B4:B13)</f>
        <v>160</v>
      </c>
      <c r="H25">
        <f>_xlfn.QUARTILE.EXC(C4:C13,3)-MEDIAN(C4:C13)</f>
        <v>427.5</v>
      </c>
    </row>
    <row r="26" spans="5:8" x14ac:dyDescent="0.25">
      <c r="E26" t="s">
        <v>143</v>
      </c>
      <c r="F26">
        <f>F23-MIN(A4:A13)</f>
        <v>125</v>
      </c>
      <c r="G26">
        <f>G23-MIN(B4:B13)</f>
        <v>712.5</v>
      </c>
      <c r="H26">
        <f>H23-MIN(C4:C13)</f>
        <v>305</v>
      </c>
    </row>
    <row r="27" spans="5:8" x14ac:dyDescent="0.25">
      <c r="E27" t="s">
        <v>146</v>
      </c>
      <c r="F27">
        <f>MAX(A4:A13)-_xlfn.QUARTILE.EXC(A4:A13,3)</f>
        <v>562.5</v>
      </c>
      <c r="G27">
        <f>MAX(B4:B13)-_xlfn.QUARTILE.EXC(B4:B13,3)</f>
        <v>985</v>
      </c>
      <c r="H27">
        <f>MAX(C4:C13)-_xlfn.QUARTILE.EXC(C4:C13,3)</f>
        <v>417.5</v>
      </c>
    </row>
  </sheetData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7"/>
  <dimension ref="A1:H29"/>
  <sheetViews>
    <sheetView workbookViewId="0"/>
  </sheetViews>
  <sheetFormatPr defaultRowHeight="15" x14ac:dyDescent="0.25"/>
  <cols>
    <col min="5" max="5" width="9.7109375" customWidth="1"/>
  </cols>
  <sheetData>
    <row r="1" spans="1:8" x14ac:dyDescent="0.25">
      <c r="A1" s="1" t="s">
        <v>1562</v>
      </c>
      <c r="B1" s="1"/>
      <c r="C1" s="1"/>
      <c r="D1" s="1"/>
    </row>
    <row r="3" spans="1:8" x14ac:dyDescent="0.25">
      <c r="A3" s="38" t="s">
        <v>3</v>
      </c>
      <c r="B3" s="38" t="s">
        <v>4</v>
      </c>
      <c r="C3" s="38" t="s">
        <v>5</v>
      </c>
      <c r="D3" s="19"/>
      <c r="E3" t="s">
        <v>699</v>
      </c>
    </row>
    <row r="4" spans="1:8" x14ac:dyDescent="0.25">
      <c r="A4">
        <v>1020</v>
      </c>
      <c r="B4">
        <v>840</v>
      </c>
      <c r="C4">
        <v>1430</v>
      </c>
    </row>
    <row r="5" spans="1:8" x14ac:dyDescent="0.25">
      <c r="A5">
        <v>1560</v>
      </c>
      <c r="B5">
        <v>940</v>
      </c>
      <c r="C5">
        <v>1750</v>
      </c>
      <c r="F5" s="126" t="str">
        <f>A3</f>
        <v>Brand A</v>
      </c>
      <c r="G5" s="126" t="str">
        <f>B3</f>
        <v>Brand B</v>
      </c>
      <c r="H5" s="126" t="str">
        <f>C3</f>
        <v>Brand C</v>
      </c>
    </row>
    <row r="6" spans="1:8" x14ac:dyDescent="0.25">
      <c r="A6">
        <v>560</v>
      </c>
      <c r="B6">
        <v>780</v>
      </c>
      <c r="C6">
        <v>870</v>
      </c>
      <c r="E6" t="s">
        <v>142</v>
      </c>
      <c r="F6" s="529">
        <f>MIN(A4:A13)-$F$13</f>
        <v>680</v>
      </c>
      <c r="G6" s="530">
        <f>MIN(B4:B13)-$F$13</f>
        <v>0</v>
      </c>
      <c r="H6" s="531">
        <f>MIN(C4:C13)-$F$13</f>
        <v>730</v>
      </c>
    </row>
    <row r="7" spans="1:8" x14ac:dyDescent="0.25">
      <c r="A7">
        <v>780</v>
      </c>
      <c r="B7">
        <v>650</v>
      </c>
      <c r="C7">
        <v>920</v>
      </c>
      <c r="E7" t="s">
        <v>143</v>
      </c>
      <c r="F7" s="162">
        <f>_xlfn.QUARTILE.EXC(A4:A13,1)-F6-$F$13</f>
        <v>125</v>
      </c>
      <c r="G7" s="8">
        <f>_xlfn.QUARTILE.EXC(B4:B13,1)-G6-$F$13</f>
        <v>712.5</v>
      </c>
      <c r="H7" s="102">
        <f>_xlfn.QUARTILE.EXC(C4:C13,1)-H6-$F$13</f>
        <v>305</v>
      </c>
    </row>
    <row r="8" spans="1:8" x14ac:dyDescent="0.25">
      <c r="A8">
        <v>990</v>
      </c>
      <c r="B8">
        <v>720</v>
      </c>
      <c r="C8">
        <v>1300</v>
      </c>
      <c r="E8" t="s">
        <v>144</v>
      </c>
      <c r="F8" s="162">
        <f>MEDIAN(A4:A13)-_xlfn.QUARTILE.EXC(A4:A13,1)</f>
        <v>220</v>
      </c>
      <c r="G8" s="8">
        <f>MEDIAN(B4:B13)-_xlfn.QUARTILE.EXC(B4:B13,1)</f>
        <v>292.5</v>
      </c>
      <c r="H8" s="102">
        <f>MEDIAN(C4:C13)-_xlfn.QUARTILE.EXC(C4:C13,1)</f>
        <v>170</v>
      </c>
    </row>
    <row r="9" spans="1:8" x14ac:dyDescent="0.25">
      <c r="A9">
        <v>670</v>
      </c>
      <c r="B9">
        <v>430</v>
      </c>
      <c r="C9">
        <v>890</v>
      </c>
      <c r="E9" t="s">
        <v>145</v>
      </c>
      <c r="F9" s="162">
        <f>_xlfn.QUARTILE.EXC(A4:A13,3)-MEDIAN(A4:A13)</f>
        <v>272.5</v>
      </c>
      <c r="G9" s="8">
        <f>_xlfn.QUARTILE.EXC(B4:B13,3)-MEDIAN(B4:B13)</f>
        <v>160</v>
      </c>
      <c r="H9" s="102">
        <f>_xlfn.QUARTILE.EXC(C4:C13,3)-MEDIAN(C4:C13)</f>
        <v>427.5</v>
      </c>
    </row>
    <row r="10" spans="1:8" x14ac:dyDescent="0.25">
      <c r="A10">
        <v>510</v>
      </c>
      <c r="B10">
        <v>1850</v>
      </c>
      <c r="C10">
        <v>740</v>
      </c>
      <c r="E10" t="s">
        <v>146</v>
      </c>
      <c r="F10" s="162">
        <f>MAX(A4:A13)-_xlfn.QUARTILE.EXC(A4:A13,3)</f>
        <v>562.5</v>
      </c>
      <c r="G10" s="8">
        <f>MAX(B4:B13)-_xlfn.QUARTILE.EXC(B4:B13,3)</f>
        <v>985</v>
      </c>
      <c r="H10" s="102">
        <f>MAX(C4:C13)-_xlfn.QUARTILE.EXC(C4:C13,3)</f>
        <v>417.5</v>
      </c>
    </row>
    <row r="11" spans="1:8" x14ac:dyDescent="0.25">
      <c r="A11">
        <v>490</v>
      </c>
      <c r="B11">
        <v>-300</v>
      </c>
      <c r="C11">
        <v>720</v>
      </c>
      <c r="E11" t="s">
        <v>75</v>
      </c>
      <c r="F11" s="273">
        <f>AVERAGE(A4:A13)-$F$13</f>
        <v>1084</v>
      </c>
      <c r="G11" s="274">
        <f>AVERAGE(B4:B13)-$F$13</f>
        <v>996</v>
      </c>
      <c r="H11" s="275">
        <f>AVERAGE(C4:C13)-$F$13</f>
        <v>1310</v>
      </c>
    </row>
    <row r="12" spans="1:8" x14ac:dyDescent="0.25">
      <c r="A12">
        <v>380</v>
      </c>
      <c r="B12">
        <v>360</v>
      </c>
      <c r="C12">
        <v>430</v>
      </c>
    </row>
    <row r="13" spans="1:8" x14ac:dyDescent="0.25">
      <c r="A13" s="11">
        <v>880</v>
      </c>
      <c r="B13" s="11">
        <v>690</v>
      </c>
      <c r="C13" s="11">
        <v>1050</v>
      </c>
      <c r="E13" t="s">
        <v>1432</v>
      </c>
      <c r="F13" s="528">
        <f>MIN(A4:C13)</f>
        <v>-300</v>
      </c>
    </row>
    <row r="19" spans="5:8" x14ac:dyDescent="0.25">
      <c r="E19" t="s">
        <v>699</v>
      </c>
    </row>
    <row r="21" spans="5:8" x14ac:dyDescent="0.25">
      <c r="F21" s="126" t="str">
        <f>A3</f>
        <v>Brand A</v>
      </c>
      <c r="G21" s="126" t="str">
        <f>B3</f>
        <v>Brand B</v>
      </c>
      <c r="H21" s="126" t="str">
        <f>C3</f>
        <v>Brand C</v>
      </c>
    </row>
    <row r="22" spans="5:8" x14ac:dyDescent="0.25">
      <c r="E22" t="s">
        <v>142</v>
      </c>
      <c r="F22" s="529">
        <f>MIN(A4:A13)-$F$29</f>
        <v>680</v>
      </c>
      <c r="G22" s="530">
        <f>MIN(B4:B13)-$F$29</f>
        <v>0</v>
      </c>
      <c r="H22" s="531">
        <f>MIN(C4:C13)-$F$29</f>
        <v>730</v>
      </c>
    </row>
    <row r="23" spans="5:8" x14ac:dyDescent="0.25">
      <c r="E23" t="s">
        <v>143</v>
      </c>
      <c r="F23" s="162">
        <f>_xlfn.QUARTILE.EXC(A4:A13,1)-F22-$F$29</f>
        <v>125</v>
      </c>
      <c r="G23" s="8">
        <f>_xlfn.QUARTILE.EXC(B4:B13,1)-G22-$F$29</f>
        <v>712.5</v>
      </c>
      <c r="H23" s="102">
        <f>_xlfn.QUARTILE.EXC(C4:C13,1)-H22-$F$29</f>
        <v>305</v>
      </c>
    </row>
    <row r="24" spans="5:8" x14ac:dyDescent="0.25">
      <c r="E24" t="s">
        <v>144</v>
      </c>
      <c r="F24" s="162">
        <f>MEDIAN(A4:A13)-_xlfn.QUARTILE.EXC(A4:A13,1)</f>
        <v>220</v>
      </c>
      <c r="G24" s="8">
        <f>MEDIAN(B4:B13)-_xlfn.QUARTILE.EXC(B4:B13,1)</f>
        <v>292.5</v>
      </c>
      <c r="H24" s="102">
        <f>MEDIAN(C4:C13)-_xlfn.QUARTILE.EXC(C4:C13,1)</f>
        <v>170</v>
      </c>
    </row>
    <row r="25" spans="5:8" x14ac:dyDescent="0.25">
      <c r="E25" t="s">
        <v>145</v>
      </c>
      <c r="F25" s="162">
        <f>_xlfn.QUARTILE.EXC(A4:A13,3)-MEDIAN(A4:A13)</f>
        <v>272.5</v>
      </c>
      <c r="G25" s="8">
        <f>_xlfn.QUARTILE.EXC(B4:B13,3)-MEDIAN(B4:B13)</f>
        <v>160</v>
      </c>
      <c r="H25" s="102">
        <f>_xlfn.QUARTILE.EXC(C4:C13,3)-MEDIAN(C4:C13)</f>
        <v>427.5</v>
      </c>
    </row>
    <row r="26" spans="5:8" x14ac:dyDescent="0.25">
      <c r="E26" t="s">
        <v>146</v>
      </c>
      <c r="F26" s="162">
        <f>MAX(A4:A13)-_xlfn.QUARTILE.EXC(A4:A13,3)</f>
        <v>562.5</v>
      </c>
      <c r="G26" s="8">
        <f>MAX(B4:B13)-_xlfn.QUARTILE.EXC(B4:B13,3)</f>
        <v>985</v>
      </c>
      <c r="H26" s="102">
        <f>MAX(C4:C13)-_xlfn.QUARTILE.EXC(C4:C13,3)</f>
        <v>417.5</v>
      </c>
    </row>
    <row r="27" spans="5:8" x14ac:dyDescent="0.25">
      <c r="E27" t="s">
        <v>75</v>
      </c>
      <c r="F27" s="273">
        <f>AVERAGE(A4:A13)-$F$29</f>
        <v>1084</v>
      </c>
      <c r="G27" s="274">
        <f>AVERAGE(B4:B13)-$F$29</f>
        <v>996</v>
      </c>
      <c r="H27" s="275">
        <f>AVERAGE(C4:C13)-$F$29</f>
        <v>1310</v>
      </c>
    </row>
    <row r="29" spans="5:8" x14ac:dyDescent="0.25">
      <c r="E29" t="s">
        <v>1432</v>
      </c>
      <c r="F29" s="528">
        <f>MIN(A4:C13)</f>
        <v>-300</v>
      </c>
    </row>
  </sheetData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/>
  <dimension ref="A1:H21"/>
  <sheetViews>
    <sheetView workbookViewId="0">
      <selection activeCell="F14" sqref="F14"/>
    </sheetView>
  </sheetViews>
  <sheetFormatPr defaultRowHeight="15" x14ac:dyDescent="0.25"/>
  <cols>
    <col min="5" max="5" width="10" customWidth="1"/>
    <col min="6" max="8" width="8.28515625" customWidth="1"/>
  </cols>
  <sheetData>
    <row r="1" spans="1:8" x14ac:dyDescent="0.25">
      <c r="A1" s="1" t="s">
        <v>141</v>
      </c>
      <c r="B1" s="1"/>
      <c r="C1" s="1"/>
    </row>
    <row r="2" spans="1:8" x14ac:dyDescent="0.25">
      <c r="E2" t="s">
        <v>699</v>
      </c>
    </row>
    <row r="3" spans="1:8" x14ac:dyDescent="0.25">
      <c r="A3" s="38" t="s">
        <v>3</v>
      </c>
      <c r="B3" s="38" t="s">
        <v>4</v>
      </c>
      <c r="C3" s="38" t="s">
        <v>5</v>
      </c>
    </row>
    <row r="4" spans="1:8" x14ac:dyDescent="0.25">
      <c r="A4">
        <v>1020</v>
      </c>
      <c r="B4">
        <v>840</v>
      </c>
      <c r="C4">
        <v>1430</v>
      </c>
      <c r="F4" s="126" t="str">
        <f>A3</f>
        <v>Brand A</v>
      </c>
      <c r="G4" s="126" t="str">
        <f t="shared" ref="G4:H4" si="0">B3</f>
        <v>Brand B</v>
      </c>
      <c r="H4" s="126" t="str">
        <f t="shared" si="0"/>
        <v>Brand C</v>
      </c>
    </row>
    <row r="5" spans="1:8" x14ac:dyDescent="0.25">
      <c r="A5">
        <v>1560</v>
      </c>
      <c r="B5">
        <v>940</v>
      </c>
      <c r="C5">
        <v>1750</v>
      </c>
      <c r="E5" t="s">
        <v>142</v>
      </c>
      <c r="F5" s="529">
        <f>F12-$F19</f>
        <v>380</v>
      </c>
      <c r="G5" s="530">
        <f t="shared" ref="G5:H5" si="1">G12-$F19</f>
        <v>300</v>
      </c>
      <c r="H5" s="531">
        <f t="shared" si="1"/>
        <v>430</v>
      </c>
    </row>
    <row r="6" spans="1:8" x14ac:dyDescent="0.25">
      <c r="A6">
        <v>560</v>
      </c>
      <c r="B6">
        <v>780</v>
      </c>
      <c r="C6">
        <v>870</v>
      </c>
      <c r="E6" t="s">
        <v>143</v>
      </c>
      <c r="F6" s="162">
        <f>F13-F12</f>
        <v>142.5</v>
      </c>
      <c r="G6" s="8">
        <f t="shared" ref="G6:H6" si="2">G13-G12</f>
        <v>185</v>
      </c>
      <c r="H6" s="102">
        <f t="shared" si="2"/>
        <v>342.5</v>
      </c>
    </row>
    <row r="7" spans="1:8" x14ac:dyDescent="0.25">
      <c r="A7">
        <v>780</v>
      </c>
      <c r="B7">
        <v>650</v>
      </c>
      <c r="C7">
        <v>920</v>
      </c>
      <c r="E7" t="s">
        <v>144</v>
      </c>
      <c r="F7" s="162">
        <f t="shared" ref="F7:H9" si="3">F14-F13</f>
        <v>202.5</v>
      </c>
      <c r="G7" s="8">
        <f t="shared" si="3"/>
        <v>220</v>
      </c>
      <c r="H7" s="102">
        <f t="shared" si="3"/>
        <v>132.5</v>
      </c>
    </row>
    <row r="8" spans="1:8" x14ac:dyDescent="0.25">
      <c r="A8">
        <v>990</v>
      </c>
      <c r="B8">
        <v>720</v>
      </c>
      <c r="C8">
        <v>1300</v>
      </c>
      <c r="E8" t="s">
        <v>145</v>
      </c>
      <c r="F8" s="162">
        <f t="shared" si="3"/>
        <v>237.5</v>
      </c>
      <c r="G8" s="8">
        <f t="shared" si="3"/>
        <v>120</v>
      </c>
      <c r="H8" s="102">
        <f t="shared" si="3"/>
        <v>332.5</v>
      </c>
    </row>
    <row r="9" spans="1:8" x14ac:dyDescent="0.25">
      <c r="A9">
        <v>670</v>
      </c>
      <c r="B9">
        <v>430</v>
      </c>
      <c r="C9">
        <v>890</v>
      </c>
      <c r="E9" t="s">
        <v>146</v>
      </c>
      <c r="F9" s="162">
        <f t="shared" si="3"/>
        <v>597.5</v>
      </c>
      <c r="G9" s="8">
        <f t="shared" si="3"/>
        <v>115</v>
      </c>
      <c r="H9" s="102">
        <f t="shared" si="3"/>
        <v>512.5</v>
      </c>
    </row>
    <row r="10" spans="1:8" x14ac:dyDescent="0.25">
      <c r="A10">
        <v>510</v>
      </c>
      <c r="B10">
        <v>1850</v>
      </c>
      <c r="C10">
        <v>740</v>
      </c>
      <c r="E10" t="s">
        <v>75</v>
      </c>
      <c r="F10" s="273">
        <f>F17-$F19</f>
        <v>784</v>
      </c>
      <c r="G10" s="274">
        <f t="shared" ref="G10:H10" si="4">G17-$F19</f>
        <v>756</v>
      </c>
      <c r="H10" s="275">
        <f t="shared" si="4"/>
        <v>1010</v>
      </c>
    </row>
    <row r="11" spans="1:8" x14ac:dyDescent="0.25">
      <c r="A11">
        <v>490</v>
      </c>
      <c r="B11">
        <v>300</v>
      </c>
      <c r="C11">
        <v>720</v>
      </c>
    </row>
    <row r="12" spans="1:8" x14ac:dyDescent="0.25">
      <c r="A12">
        <v>380</v>
      </c>
      <c r="B12">
        <v>360</v>
      </c>
      <c r="C12">
        <v>430</v>
      </c>
      <c r="E12" t="s">
        <v>142</v>
      </c>
      <c r="F12" s="529">
        <f t="array" ref="F12">MIN(IF(A4:A13&gt;=F13-3*(F15-F13)/2,A4:A13,""))</f>
        <v>380</v>
      </c>
      <c r="G12" s="530">
        <f t="array" ref="G12">MIN(IF(B4:B13&gt;=G13-3*(G15-G13)/2,B4:B13,""))</f>
        <v>300</v>
      </c>
      <c r="H12" s="531">
        <f t="array" ref="H12">MIN(IF(C4:C13&gt;=H13-3*(H15-H13)/2,C4:C13,""))</f>
        <v>430</v>
      </c>
    </row>
    <row r="13" spans="1:8" x14ac:dyDescent="0.25">
      <c r="A13" s="11">
        <v>880</v>
      </c>
      <c r="B13" s="11">
        <v>690</v>
      </c>
      <c r="C13" s="11">
        <v>1050</v>
      </c>
      <c r="E13" t="s">
        <v>148</v>
      </c>
      <c r="F13" s="162">
        <f>QUARTILE(A4:A13,1)</f>
        <v>522.5</v>
      </c>
      <c r="G13" s="8">
        <f>QUARTILE(B4:B13,1)</f>
        <v>485</v>
      </c>
      <c r="H13" s="102">
        <f>QUARTILE(C4:C13,1)</f>
        <v>772.5</v>
      </c>
    </row>
    <row r="14" spans="1:8" x14ac:dyDescent="0.25">
      <c r="E14" t="s">
        <v>77</v>
      </c>
      <c r="F14" s="162">
        <f>MEDIAN(A4:A13)</f>
        <v>725</v>
      </c>
      <c r="G14" s="8">
        <f>MEDIAN(B4:B13)</f>
        <v>705</v>
      </c>
      <c r="H14" s="102">
        <f>MEDIAN(C4:C13)</f>
        <v>905</v>
      </c>
    </row>
    <row r="15" spans="1:8" x14ac:dyDescent="0.25">
      <c r="E15" t="s">
        <v>421</v>
      </c>
      <c r="F15" s="162">
        <f>QUARTILE(A4:A13,3)</f>
        <v>962.5</v>
      </c>
      <c r="G15" s="8">
        <f>QUARTILE(B4:B13,3)</f>
        <v>825</v>
      </c>
      <c r="H15" s="102">
        <f>QUARTILE(C4:C13,3)</f>
        <v>1237.5</v>
      </c>
    </row>
    <row r="16" spans="1:8" x14ac:dyDescent="0.25">
      <c r="E16" t="s">
        <v>1471</v>
      </c>
      <c r="F16" s="162">
        <f t="array" ref="F16">MAX(IF(A4:A13&lt;=F15+3*(F15-F13)/2,A4:A13,""))</f>
        <v>1560</v>
      </c>
      <c r="G16" s="8">
        <f t="array" ref="G16">MAX(IF(B4:B13&lt;=G15+3*(G15-G13)/2,B4:B13,""))</f>
        <v>940</v>
      </c>
      <c r="H16" s="102">
        <f t="array" ref="H16">MAX(IF(C4:C13&lt;=H15+3*(H15-H13)/2,C4:C13,""))</f>
        <v>1750</v>
      </c>
    </row>
    <row r="17" spans="5:8" x14ac:dyDescent="0.25">
      <c r="E17" t="s">
        <v>75</v>
      </c>
      <c r="F17" s="273">
        <f>AVERAGE(A4:A13)</f>
        <v>784</v>
      </c>
      <c r="G17" s="274">
        <f>AVERAGE(B4:B13)</f>
        <v>756</v>
      </c>
      <c r="H17" s="275">
        <f>AVERAGE(C4:C13)</f>
        <v>1010</v>
      </c>
    </row>
    <row r="19" spans="5:8" x14ac:dyDescent="0.25">
      <c r="E19" t="s">
        <v>1432</v>
      </c>
      <c r="F19" s="528">
        <f>IF(MIN(F12:H12)&gt;=0,0,MIN(F12:H12))</f>
        <v>0</v>
      </c>
    </row>
    <row r="21" spans="5:8" x14ac:dyDescent="0.25">
      <c r="E21" t="s">
        <v>1704</v>
      </c>
      <c r="G21">
        <f>B10</f>
        <v>1850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/>
  </sheetViews>
  <sheetFormatPr defaultRowHeight="15" x14ac:dyDescent="0.25"/>
  <sheetData>
    <row r="1" spans="1:2" x14ac:dyDescent="0.25">
      <c r="A1" s="1" t="s">
        <v>13</v>
      </c>
    </row>
    <row r="3" spans="1:2" x14ac:dyDescent="0.25">
      <c r="A3" s="19" t="s">
        <v>22</v>
      </c>
      <c r="B3" s="19" t="s">
        <v>23</v>
      </c>
    </row>
    <row r="4" spans="1:2" x14ac:dyDescent="0.25">
      <c r="A4">
        <v>31</v>
      </c>
      <c r="B4">
        <v>23500</v>
      </c>
    </row>
    <row r="5" spans="1:2" x14ac:dyDescent="0.25">
      <c r="A5">
        <f t="shared" ref="A5:A13" si="0">A4+1</f>
        <v>32</v>
      </c>
      <c r="B5">
        <v>24000</v>
      </c>
    </row>
    <row r="6" spans="1:2" x14ac:dyDescent="0.25">
      <c r="A6">
        <f t="shared" si="0"/>
        <v>33</v>
      </c>
      <c r="B6">
        <v>25000</v>
      </c>
    </row>
    <row r="7" spans="1:2" x14ac:dyDescent="0.25">
      <c r="A7">
        <f t="shared" si="0"/>
        <v>34</v>
      </c>
      <c r="B7">
        <v>26700</v>
      </c>
    </row>
    <row r="8" spans="1:2" x14ac:dyDescent="0.25">
      <c r="A8">
        <f t="shared" si="0"/>
        <v>35</v>
      </c>
      <c r="B8">
        <v>27500</v>
      </c>
    </row>
    <row r="9" spans="1:2" x14ac:dyDescent="0.25">
      <c r="A9">
        <f t="shared" si="0"/>
        <v>36</v>
      </c>
      <c r="B9">
        <v>29200</v>
      </c>
    </row>
    <row r="10" spans="1:2" x14ac:dyDescent="0.25">
      <c r="A10">
        <f t="shared" si="0"/>
        <v>37</v>
      </c>
      <c r="B10">
        <v>33000</v>
      </c>
    </row>
    <row r="11" spans="1:2" x14ac:dyDescent="0.25">
      <c r="A11">
        <f t="shared" si="0"/>
        <v>38</v>
      </c>
      <c r="B11">
        <v>35100</v>
      </c>
    </row>
    <row r="12" spans="1:2" x14ac:dyDescent="0.25">
      <c r="A12">
        <f t="shared" si="0"/>
        <v>39</v>
      </c>
      <c r="B12">
        <v>37400</v>
      </c>
    </row>
    <row r="13" spans="1:2" x14ac:dyDescent="0.25">
      <c r="A13">
        <f t="shared" si="0"/>
        <v>40</v>
      </c>
      <c r="B13">
        <v>39500</v>
      </c>
    </row>
  </sheetData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/>
  <dimension ref="A1:S22"/>
  <sheetViews>
    <sheetView workbookViewId="0">
      <selection activeCell="E12" sqref="E12"/>
    </sheetView>
  </sheetViews>
  <sheetFormatPr defaultRowHeight="15" x14ac:dyDescent="0.25"/>
  <cols>
    <col min="1" max="3" width="9" customWidth="1"/>
    <col min="4" max="4" width="4" customWidth="1"/>
    <col min="5" max="5" width="10.85546875" customWidth="1"/>
    <col min="17" max="19" width="7.7109375" customWidth="1"/>
  </cols>
  <sheetData>
    <row r="1" spans="1:19" x14ac:dyDescent="0.25">
      <c r="A1" s="1" t="s">
        <v>542</v>
      </c>
      <c r="B1" s="1"/>
      <c r="C1" s="1"/>
      <c r="Q1" t="s">
        <v>1443</v>
      </c>
    </row>
    <row r="2" spans="1:19" x14ac:dyDescent="0.25">
      <c r="E2" t="s">
        <v>699</v>
      </c>
    </row>
    <row r="3" spans="1:19" x14ac:dyDescent="0.25">
      <c r="A3" s="38" t="s">
        <v>3</v>
      </c>
      <c r="B3" s="38" t="s">
        <v>4</v>
      </c>
      <c r="C3" s="38" t="s">
        <v>5</v>
      </c>
      <c r="Q3" s="38" t="s">
        <v>3</v>
      </c>
      <c r="R3" s="38" t="s">
        <v>4</v>
      </c>
      <c r="S3" s="38" t="s">
        <v>5</v>
      </c>
    </row>
    <row r="4" spans="1:19" x14ac:dyDescent="0.25">
      <c r="A4">
        <v>1020</v>
      </c>
      <c r="B4">
        <v>840</v>
      </c>
      <c r="C4">
        <v>1430</v>
      </c>
      <c r="F4" s="126" t="str">
        <f>A3</f>
        <v>Brand A</v>
      </c>
      <c r="G4" s="126" t="str">
        <f>B3</f>
        <v>Brand B</v>
      </c>
      <c r="H4" s="126" t="str">
        <f>C3</f>
        <v>Brand C</v>
      </c>
      <c r="Q4" t="str">
        <f>IF(A4&gt;F$16,A4,IF(A4&lt;F$12,A4,""))</f>
        <v/>
      </c>
      <c r="R4" t="str">
        <f t="shared" ref="R4:S4" si="0">IF(B4&gt;G$16,B4,IF(B4&lt;G$12,B4,""))</f>
        <v/>
      </c>
      <c r="S4" t="str">
        <f t="shared" si="0"/>
        <v/>
      </c>
    </row>
    <row r="5" spans="1:19" x14ac:dyDescent="0.25">
      <c r="A5">
        <v>1560</v>
      </c>
      <c r="B5">
        <v>940</v>
      </c>
      <c r="C5">
        <v>1750</v>
      </c>
      <c r="E5" t="s">
        <v>142</v>
      </c>
      <c r="F5" s="529">
        <f>F12-$F19</f>
        <v>380</v>
      </c>
      <c r="G5" s="530">
        <f>G12-$F19</f>
        <v>360</v>
      </c>
      <c r="H5" s="531">
        <f>H12-$F19</f>
        <v>430</v>
      </c>
      <c r="Q5" t="str">
        <f t="shared" ref="Q5:Q13" si="1">IF(A5&gt;F$16,A5,IF(A5&lt;F$12,A5,""))</f>
        <v/>
      </c>
      <c r="R5" t="str">
        <f t="shared" ref="R5:R13" si="2">IF(B5&gt;G$16,B5,IF(B5&lt;G$12,B5,""))</f>
        <v/>
      </c>
      <c r="S5" t="str">
        <f t="shared" ref="S5:S13" si="3">IF(C5&gt;H$16,C5,IF(C5&lt;H$12,C5,""))</f>
        <v/>
      </c>
    </row>
    <row r="6" spans="1:19" x14ac:dyDescent="0.25">
      <c r="A6">
        <v>560</v>
      </c>
      <c r="B6">
        <v>780</v>
      </c>
      <c r="C6">
        <v>870</v>
      </c>
      <c r="E6" t="s">
        <v>143</v>
      </c>
      <c r="F6" s="162">
        <f>F13-F12</f>
        <v>142.5</v>
      </c>
      <c r="G6" s="8">
        <f t="shared" ref="G6:H6" si="4">G13-G12</f>
        <v>125</v>
      </c>
      <c r="H6" s="102">
        <f t="shared" si="4"/>
        <v>342.5</v>
      </c>
      <c r="Q6" t="str">
        <f t="shared" si="1"/>
        <v/>
      </c>
      <c r="R6" t="str">
        <f t="shared" si="2"/>
        <v/>
      </c>
      <c r="S6" t="str">
        <f t="shared" si="3"/>
        <v/>
      </c>
    </row>
    <row r="7" spans="1:19" x14ac:dyDescent="0.25">
      <c r="A7">
        <v>780</v>
      </c>
      <c r="B7">
        <v>650</v>
      </c>
      <c r="C7">
        <v>920</v>
      </c>
      <c r="E7" t="s">
        <v>144</v>
      </c>
      <c r="F7" s="162">
        <f t="shared" ref="F7:H9" si="5">F14-F13</f>
        <v>202.5</v>
      </c>
      <c r="G7" s="8">
        <f t="shared" si="5"/>
        <v>220</v>
      </c>
      <c r="H7" s="102">
        <f t="shared" si="5"/>
        <v>132.5</v>
      </c>
      <c r="Q7" t="str">
        <f t="shared" si="1"/>
        <v/>
      </c>
      <c r="R7" t="str">
        <f t="shared" si="2"/>
        <v/>
      </c>
      <c r="S7" t="str">
        <f t="shared" si="3"/>
        <v/>
      </c>
    </row>
    <row r="8" spans="1:19" x14ac:dyDescent="0.25">
      <c r="A8">
        <v>990</v>
      </c>
      <c r="B8">
        <v>720</v>
      </c>
      <c r="C8">
        <v>1300</v>
      </c>
      <c r="E8" t="s">
        <v>145</v>
      </c>
      <c r="F8" s="162">
        <f t="shared" si="5"/>
        <v>237.5</v>
      </c>
      <c r="G8" s="8">
        <f t="shared" si="5"/>
        <v>120</v>
      </c>
      <c r="H8" s="102">
        <f t="shared" si="5"/>
        <v>332.5</v>
      </c>
      <c r="Q8" t="str">
        <f t="shared" si="1"/>
        <v/>
      </c>
      <c r="R8" t="str">
        <f t="shared" si="2"/>
        <v/>
      </c>
      <c r="S8" t="str">
        <f t="shared" si="3"/>
        <v/>
      </c>
    </row>
    <row r="9" spans="1:19" x14ac:dyDescent="0.25">
      <c r="A9">
        <v>670</v>
      </c>
      <c r="B9">
        <v>430</v>
      </c>
      <c r="C9">
        <v>890</v>
      </c>
      <c r="E9" t="s">
        <v>146</v>
      </c>
      <c r="F9" s="162">
        <f t="shared" si="5"/>
        <v>597.5</v>
      </c>
      <c r="G9" s="8">
        <f t="shared" si="5"/>
        <v>115</v>
      </c>
      <c r="H9" s="102">
        <f t="shared" si="5"/>
        <v>512.5</v>
      </c>
      <c r="Q9" t="str">
        <f t="shared" si="1"/>
        <v/>
      </c>
      <c r="R9" t="str">
        <f t="shared" si="2"/>
        <v/>
      </c>
      <c r="S9" t="str">
        <f t="shared" si="3"/>
        <v/>
      </c>
    </row>
    <row r="10" spans="1:19" x14ac:dyDescent="0.25">
      <c r="A10">
        <v>510</v>
      </c>
      <c r="B10">
        <v>1850</v>
      </c>
      <c r="C10">
        <v>740</v>
      </c>
      <c r="E10" t="s">
        <v>75</v>
      </c>
      <c r="F10" s="273">
        <f>F17-$F19</f>
        <v>784</v>
      </c>
      <c r="G10" s="274">
        <f>G17-$F19</f>
        <v>696</v>
      </c>
      <c r="H10" s="275">
        <f>H17-$F19</f>
        <v>1010</v>
      </c>
      <c r="Q10" t="str">
        <f t="shared" si="1"/>
        <v/>
      </c>
      <c r="R10">
        <f t="shared" si="2"/>
        <v>1850</v>
      </c>
      <c r="S10" t="str">
        <f t="shared" si="3"/>
        <v/>
      </c>
    </row>
    <row r="11" spans="1:19" x14ac:dyDescent="0.25">
      <c r="A11">
        <v>490</v>
      </c>
      <c r="B11">
        <v>-300</v>
      </c>
      <c r="C11">
        <v>720</v>
      </c>
      <c r="Q11" t="str">
        <f t="shared" si="1"/>
        <v/>
      </c>
      <c r="R11">
        <f t="shared" si="2"/>
        <v>-300</v>
      </c>
      <c r="S11" t="str">
        <f t="shared" si="3"/>
        <v/>
      </c>
    </row>
    <row r="12" spans="1:19" x14ac:dyDescent="0.25">
      <c r="A12">
        <v>380</v>
      </c>
      <c r="B12">
        <v>360</v>
      </c>
      <c r="C12">
        <v>430</v>
      </c>
      <c r="E12" t="s">
        <v>142</v>
      </c>
      <c r="F12" s="529">
        <f t="array" ref="F12">MIN(IF(A4:A13&gt;=F13-3*(F15-F13)/2,A4:A13,""))</f>
        <v>380</v>
      </c>
      <c r="G12" s="530">
        <f t="array" ref="G12">MIN(IF(B4:B13&gt;=G13-3*(G15-G13)/2,B4:B13,""))</f>
        <v>360</v>
      </c>
      <c r="H12" s="531">
        <f t="array" ref="H12">MIN(IF(C4:C13&gt;=H13-3*(H15-H13)/2,C4:C13,""))</f>
        <v>430</v>
      </c>
      <c r="Q12" t="str">
        <f t="shared" si="1"/>
        <v/>
      </c>
      <c r="R12" t="str">
        <f t="shared" si="2"/>
        <v/>
      </c>
      <c r="S12" t="str">
        <f t="shared" si="3"/>
        <v/>
      </c>
    </row>
    <row r="13" spans="1:19" x14ac:dyDescent="0.25">
      <c r="A13" s="11">
        <v>880</v>
      </c>
      <c r="B13" s="11">
        <v>690</v>
      </c>
      <c r="C13" s="11">
        <v>1050</v>
      </c>
      <c r="E13" t="s">
        <v>148</v>
      </c>
      <c r="F13" s="162">
        <f>QUARTILE(A4:A13,1)</f>
        <v>522.5</v>
      </c>
      <c r="G13" s="8">
        <f>QUARTILE(B4:B13,1)</f>
        <v>485</v>
      </c>
      <c r="H13" s="102">
        <f>QUARTILE(C4:C13,1)</f>
        <v>772.5</v>
      </c>
      <c r="Q13" s="276" t="str">
        <f t="shared" si="1"/>
        <v/>
      </c>
      <c r="R13" s="276" t="str">
        <f t="shared" si="2"/>
        <v/>
      </c>
      <c r="S13" s="276" t="str">
        <f t="shared" si="3"/>
        <v/>
      </c>
    </row>
    <row r="14" spans="1:19" x14ac:dyDescent="0.25">
      <c r="E14" t="s">
        <v>77</v>
      </c>
      <c r="F14" s="162">
        <f>MEDIAN(A4:A13)</f>
        <v>725</v>
      </c>
      <c r="G14" s="8">
        <f>MEDIAN(B4:B13)</f>
        <v>705</v>
      </c>
      <c r="H14" s="102">
        <f>MEDIAN(C4:C13)</f>
        <v>905</v>
      </c>
    </row>
    <row r="15" spans="1:19" x14ac:dyDescent="0.25">
      <c r="E15" t="s">
        <v>421</v>
      </c>
      <c r="F15" s="162">
        <f>QUARTILE(A4:A13,3)</f>
        <v>962.5</v>
      </c>
      <c r="G15" s="8">
        <f>QUARTILE(B4:B13,3)</f>
        <v>825</v>
      </c>
      <c r="H15" s="102">
        <f>QUARTILE(C4:C13,3)</f>
        <v>1237.5</v>
      </c>
    </row>
    <row r="16" spans="1:19" x14ac:dyDescent="0.25">
      <c r="E16" t="s">
        <v>1471</v>
      </c>
      <c r="F16" s="162">
        <f t="array" ref="F16">MAX(IF(A4:A13&lt;=F15+3*(F15-F13)/2,A4:A13,""))</f>
        <v>1560</v>
      </c>
      <c r="G16" s="8">
        <f t="array" ref="G16">MAX(IF(B4:B13&lt;=G15+3*(G15-G13)/2,B4:B13,""))</f>
        <v>940</v>
      </c>
      <c r="H16" s="102">
        <f t="array" ref="H16">MAX(IF(C4:C13&lt;=H15+3*(H15-H13)/2,C4:C13,""))</f>
        <v>1750</v>
      </c>
    </row>
    <row r="17" spans="5:8" x14ac:dyDescent="0.25">
      <c r="E17" t="s">
        <v>75</v>
      </c>
      <c r="F17" s="273">
        <f>AVERAGE(A4:A13)</f>
        <v>784</v>
      </c>
      <c r="G17" s="274">
        <f>AVERAGE(B4:B13)</f>
        <v>696</v>
      </c>
      <c r="H17" s="275">
        <f>AVERAGE(C4:C13)</f>
        <v>1010</v>
      </c>
    </row>
    <row r="19" spans="5:8" x14ac:dyDescent="0.25">
      <c r="E19" t="s">
        <v>1432</v>
      </c>
      <c r="F19" s="528">
        <f>IF(MIN(F12:H12)&gt;=0,0,MIN(F12:H12))</f>
        <v>0</v>
      </c>
    </row>
    <row r="21" spans="5:8" x14ac:dyDescent="0.25">
      <c r="E21" t="s">
        <v>1704</v>
      </c>
      <c r="G21">
        <f>B10</f>
        <v>1850</v>
      </c>
    </row>
    <row r="22" spans="5:8" x14ac:dyDescent="0.25">
      <c r="G22">
        <f>B11</f>
        <v>-300</v>
      </c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/>
  <dimension ref="A1:S23"/>
  <sheetViews>
    <sheetView workbookViewId="0">
      <selection activeCell="T20" sqref="T20"/>
    </sheetView>
  </sheetViews>
  <sheetFormatPr defaultRowHeight="15" x14ac:dyDescent="0.25"/>
  <cols>
    <col min="1" max="3" width="8" customWidth="1"/>
    <col min="4" max="4" width="4.42578125" customWidth="1"/>
    <col min="5" max="5" width="10.28515625" customWidth="1"/>
    <col min="6" max="8" width="7.28515625" customWidth="1"/>
    <col min="17" max="19" width="7.42578125" customWidth="1"/>
  </cols>
  <sheetData>
    <row r="1" spans="1:19" x14ac:dyDescent="0.25">
      <c r="A1" s="1" t="s">
        <v>542</v>
      </c>
      <c r="B1" s="1"/>
      <c r="C1" s="1"/>
      <c r="Q1" t="s">
        <v>1444</v>
      </c>
    </row>
    <row r="3" spans="1:19" x14ac:dyDescent="0.25">
      <c r="A3" s="38" t="s">
        <v>3</v>
      </c>
      <c r="B3" s="38" t="s">
        <v>4</v>
      </c>
      <c r="C3" s="38" t="s">
        <v>5</v>
      </c>
      <c r="E3" t="s">
        <v>699</v>
      </c>
      <c r="Q3" s="38" t="s">
        <v>3</v>
      </c>
      <c r="R3" s="38" t="s">
        <v>4</v>
      </c>
      <c r="S3" s="38" t="s">
        <v>5</v>
      </c>
    </row>
    <row r="4" spans="1:19" x14ac:dyDescent="0.25">
      <c r="A4">
        <v>1650</v>
      </c>
      <c r="B4">
        <v>-50</v>
      </c>
      <c r="C4">
        <v>1430</v>
      </c>
      <c r="Q4" t="str">
        <f>IF(A4&gt;F$17,A4-$F$20,IF(A4&lt;F$13,A4-$F$20,""))</f>
        <v/>
      </c>
      <c r="R4" t="str">
        <f t="shared" ref="R4:S4" si="0">IF(B4&gt;G$17,B4-$F$20,IF(B4&lt;G$13,B4-$F$20,""))</f>
        <v/>
      </c>
      <c r="S4" t="str">
        <f t="shared" si="0"/>
        <v/>
      </c>
    </row>
    <row r="5" spans="1:19" x14ac:dyDescent="0.25">
      <c r="A5">
        <v>1560</v>
      </c>
      <c r="B5">
        <v>940</v>
      </c>
      <c r="C5">
        <v>1750</v>
      </c>
      <c r="F5" s="126" t="str">
        <f>A3</f>
        <v>Brand A</v>
      </c>
      <c r="G5" s="126" t="str">
        <f>B3</f>
        <v>Brand B</v>
      </c>
      <c r="H5" s="126" t="str">
        <f>C3</f>
        <v>Brand C</v>
      </c>
      <c r="Q5" t="str">
        <f t="shared" ref="Q5:Q13" si="1">IF(A5&gt;F$17,A5-$F$20,IF(A5&lt;F$13,A5-$F$20,""))</f>
        <v/>
      </c>
      <c r="R5" t="str">
        <f t="shared" ref="R5:R13" si="2">IF(B5&gt;G$17,B5-$F$20,IF(B5&lt;G$13,B5-$F$20,""))</f>
        <v/>
      </c>
      <c r="S5" t="str">
        <f t="shared" ref="S5:S13" si="3">IF(C5&gt;H$17,C5-$F$20,IF(C5&lt;H$13,C5-$F$20,""))</f>
        <v/>
      </c>
    </row>
    <row r="6" spans="1:19" x14ac:dyDescent="0.25">
      <c r="A6">
        <v>1260</v>
      </c>
      <c r="B6">
        <v>780</v>
      </c>
      <c r="C6">
        <v>870</v>
      </c>
      <c r="E6" t="s">
        <v>142</v>
      </c>
      <c r="F6" s="529">
        <f>F13-$F20</f>
        <v>720</v>
      </c>
      <c r="G6" s="530">
        <f>G13-$F20</f>
        <v>0</v>
      </c>
      <c r="H6" s="531">
        <f>H13-$F20</f>
        <v>480</v>
      </c>
      <c r="Q6" t="str">
        <f t="shared" si="1"/>
        <v/>
      </c>
      <c r="R6" t="str">
        <f t="shared" si="2"/>
        <v/>
      </c>
      <c r="S6" t="str">
        <f t="shared" si="3"/>
        <v/>
      </c>
    </row>
    <row r="7" spans="1:19" x14ac:dyDescent="0.25">
      <c r="A7">
        <v>780</v>
      </c>
      <c r="B7">
        <v>450</v>
      </c>
      <c r="C7">
        <v>920</v>
      </c>
      <c r="E7" t="s">
        <v>143</v>
      </c>
      <c r="F7" s="162">
        <f>F14-F13</f>
        <v>87.5</v>
      </c>
      <c r="G7" s="8">
        <f t="shared" ref="G7:H7" si="4">G14-G13</f>
        <v>427.5</v>
      </c>
      <c r="H7" s="102">
        <f t="shared" si="4"/>
        <v>342.5</v>
      </c>
      <c r="Q7" t="str">
        <f t="shared" si="1"/>
        <v/>
      </c>
      <c r="R7" t="str">
        <f t="shared" si="2"/>
        <v/>
      </c>
      <c r="S7" t="str">
        <f t="shared" si="3"/>
        <v/>
      </c>
    </row>
    <row r="8" spans="1:19" x14ac:dyDescent="0.25">
      <c r="A8">
        <v>990</v>
      </c>
      <c r="B8">
        <v>720</v>
      </c>
      <c r="C8">
        <v>1300</v>
      </c>
      <c r="E8" t="s">
        <v>144</v>
      </c>
      <c r="F8" s="162">
        <f t="shared" ref="F8:H10" si="5">F15-F14</f>
        <v>82.5</v>
      </c>
      <c r="G8" s="8">
        <f t="shared" si="5"/>
        <v>192.5</v>
      </c>
      <c r="H8" s="102">
        <f t="shared" si="5"/>
        <v>132.5</v>
      </c>
      <c r="Q8" t="str">
        <f t="shared" si="1"/>
        <v/>
      </c>
      <c r="R8" t="str">
        <f t="shared" si="2"/>
        <v/>
      </c>
      <c r="S8" t="str">
        <f t="shared" si="3"/>
        <v/>
      </c>
    </row>
    <row r="9" spans="1:19" x14ac:dyDescent="0.25">
      <c r="A9">
        <v>670</v>
      </c>
      <c r="B9">
        <v>430</v>
      </c>
      <c r="C9">
        <v>890</v>
      </c>
      <c r="E9" t="s">
        <v>145</v>
      </c>
      <c r="F9" s="162">
        <f t="shared" si="5"/>
        <v>352.5</v>
      </c>
      <c r="G9" s="8">
        <f t="shared" si="5"/>
        <v>195</v>
      </c>
      <c r="H9" s="102">
        <f t="shared" si="5"/>
        <v>332.5</v>
      </c>
      <c r="Q9" t="str">
        <f t="shared" si="1"/>
        <v/>
      </c>
      <c r="R9" t="str">
        <f t="shared" si="2"/>
        <v/>
      </c>
      <c r="S9" t="str">
        <f t="shared" si="3"/>
        <v/>
      </c>
    </row>
    <row r="10" spans="1:19" x14ac:dyDescent="0.25">
      <c r="A10">
        <v>800</v>
      </c>
      <c r="B10">
        <v>1850</v>
      </c>
      <c r="C10">
        <v>740</v>
      </c>
      <c r="E10" t="s">
        <v>146</v>
      </c>
      <c r="F10" s="162">
        <f t="shared" si="5"/>
        <v>457.5</v>
      </c>
      <c r="G10" s="8">
        <f t="shared" si="5"/>
        <v>175</v>
      </c>
      <c r="H10" s="102">
        <f t="shared" si="5"/>
        <v>512.5</v>
      </c>
      <c r="Q10" t="str">
        <f t="shared" si="1"/>
        <v/>
      </c>
      <c r="R10">
        <f t="shared" si="2"/>
        <v>1900</v>
      </c>
      <c r="S10" t="str">
        <f t="shared" si="3"/>
        <v/>
      </c>
    </row>
    <row r="11" spans="1:19" x14ac:dyDescent="0.25">
      <c r="A11">
        <v>750</v>
      </c>
      <c r="B11">
        <v>-300</v>
      </c>
      <c r="C11">
        <v>720</v>
      </c>
      <c r="E11" t="s">
        <v>75</v>
      </c>
      <c r="F11" s="273">
        <f>F18-$F20</f>
        <v>989</v>
      </c>
      <c r="G11" s="274">
        <f>G18-$F20</f>
        <v>637</v>
      </c>
      <c r="H11" s="275">
        <f>H18-$F20</f>
        <v>1060</v>
      </c>
      <c r="Q11" t="str">
        <f t="shared" si="1"/>
        <v/>
      </c>
      <c r="R11">
        <f t="shared" si="2"/>
        <v>-250</v>
      </c>
      <c r="S11" t="str">
        <f t="shared" si="3"/>
        <v/>
      </c>
    </row>
    <row r="12" spans="1:19" x14ac:dyDescent="0.25">
      <c r="A12">
        <v>50</v>
      </c>
      <c r="B12">
        <v>360</v>
      </c>
      <c r="C12">
        <v>430</v>
      </c>
      <c r="Q12">
        <f t="shared" si="1"/>
        <v>100</v>
      </c>
      <c r="R12" t="str">
        <f t="shared" si="2"/>
        <v/>
      </c>
      <c r="S12" t="str">
        <f t="shared" si="3"/>
        <v/>
      </c>
    </row>
    <row r="13" spans="1:19" x14ac:dyDescent="0.25">
      <c r="A13" s="11">
        <v>880</v>
      </c>
      <c r="B13" s="11">
        <v>690</v>
      </c>
      <c r="C13" s="11">
        <v>1050</v>
      </c>
      <c r="E13" t="s">
        <v>142</v>
      </c>
      <c r="F13" s="529">
        <f t="array" ref="F13">MIN(IF(A4:A13&gt;=F14-3*(F16-F14)/2,A4:A13,""))</f>
        <v>670</v>
      </c>
      <c r="G13" s="530">
        <f t="array" ref="G13">MIN(IF(B4:B13&gt;=G14-3*(G16-G14)/2,B4:B13,""))</f>
        <v>-50</v>
      </c>
      <c r="H13" s="531">
        <f t="array" ref="H13">MIN(IF(C4:C13&gt;=H14-3*(H16-H14)/2,C4:C13,""))</f>
        <v>430</v>
      </c>
      <c r="Q13" s="276" t="str">
        <f t="shared" si="1"/>
        <v/>
      </c>
      <c r="R13" s="276" t="str">
        <f t="shared" si="2"/>
        <v/>
      </c>
      <c r="S13" s="276" t="str">
        <f t="shared" si="3"/>
        <v/>
      </c>
    </row>
    <row r="14" spans="1:19" x14ac:dyDescent="0.25">
      <c r="E14" t="s">
        <v>148</v>
      </c>
      <c r="F14" s="162">
        <f>QUARTILE(A4:A13,1)</f>
        <v>757.5</v>
      </c>
      <c r="G14" s="8">
        <f>QUARTILE(B4:B13,1)</f>
        <v>377.5</v>
      </c>
      <c r="H14" s="102">
        <f>QUARTILE(C4:C13,1)</f>
        <v>772.5</v>
      </c>
    </row>
    <row r="15" spans="1:19" x14ac:dyDescent="0.25">
      <c r="E15" t="s">
        <v>77</v>
      </c>
      <c r="F15" s="162">
        <f>MEDIAN(A4:A13)</f>
        <v>840</v>
      </c>
      <c r="G15" s="8">
        <f>MEDIAN(B4:B13)</f>
        <v>570</v>
      </c>
      <c r="H15" s="102">
        <f>MEDIAN(C4:C13)</f>
        <v>905</v>
      </c>
    </row>
    <row r="16" spans="1:19" x14ac:dyDescent="0.25">
      <c r="E16" t="s">
        <v>421</v>
      </c>
      <c r="F16" s="162">
        <f>QUARTILE(A4:A13,3)</f>
        <v>1192.5</v>
      </c>
      <c r="G16" s="8">
        <f>QUARTILE(B4:B13,3)</f>
        <v>765</v>
      </c>
      <c r="H16" s="102">
        <f>QUARTILE(C4:C13,3)</f>
        <v>1237.5</v>
      </c>
    </row>
    <row r="17" spans="5:8" x14ac:dyDescent="0.25">
      <c r="E17" t="s">
        <v>1471</v>
      </c>
      <c r="F17" s="162">
        <f t="array" ref="F17">MAX(IF(A4:A13&lt;=F16+3*(F16-F14)/2,A4:A13,""))</f>
        <v>1650</v>
      </c>
      <c r="G17" s="8">
        <f t="array" ref="G17">MAX(IF(B4:B13&lt;=G16+3*(G16-G14)/2,B4:B13,""))</f>
        <v>940</v>
      </c>
      <c r="H17" s="102">
        <f t="array" ref="H17">MAX(IF(C4:C13&lt;=H16+3*(H16-H14)/2,C4:C13,""))</f>
        <v>1750</v>
      </c>
    </row>
    <row r="18" spans="5:8" x14ac:dyDescent="0.25">
      <c r="E18" t="s">
        <v>75</v>
      </c>
      <c r="F18" s="273">
        <f>AVERAGE(A4:A13)</f>
        <v>939</v>
      </c>
      <c r="G18" s="274">
        <f>AVERAGE(B4:B13)</f>
        <v>587</v>
      </c>
      <c r="H18" s="275">
        <f>AVERAGE(C4:C13)</f>
        <v>1010</v>
      </c>
    </row>
    <row r="20" spans="5:8" x14ac:dyDescent="0.25">
      <c r="E20" t="s">
        <v>1432</v>
      </c>
      <c r="F20" s="528">
        <f>IF(MIN(F13:H13)&gt;=0,0,MIN(F13:H13))</f>
        <v>-50</v>
      </c>
    </row>
    <row r="22" spans="5:8" x14ac:dyDescent="0.25">
      <c r="E22" t="s">
        <v>1704</v>
      </c>
      <c r="F22">
        <f>A12-F20</f>
        <v>100</v>
      </c>
      <c r="G22">
        <f>B10-F20</f>
        <v>1900</v>
      </c>
    </row>
    <row r="23" spans="5:8" x14ac:dyDescent="0.25">
      <c r="G23">
        <f>B11-F20</f>
        <v>-250</v>
      </c>
    </row>
  </sheetData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J16"/>
  <sheetViews>
    <sheetView workbookViewId="0">
      <selection activeCell="M19" sqref="M19"/>
    </sheetView>
  </sheetViews>
  <sheetFormatPr defaultRowHeight="15" x14ac:dyDescent="0.25"/>
  <sheetData>
    <row r="1" spans="1:10" x14ac:dyDescent="0.25">
      <c r="A1" s="1" t="s">
        <v>1738</v>
      </c>
      <c r="B1" s="1"/>
      <c r="C1" s="1"/>
    </row>
    <row r="3" spans="1:10" x14ac:dyDescent="0.25">
      <c r="A3" s="580" t="s">
        <v>3</v>
      </c>
      <c r="B3" s="580" t="s">
        <v>4</v>
      </c>
      <c r="C3" s="580" t="s">
        <v>5</v>
      </c>
      <c r="F3" t="str">
        <f t="shared" ref="F3:F13" si="0">A3</f>
        <v>Brand A</v>
      </c>
      <c r="H3" t="str">
        <f t="shared" ref="H3:H13" si="1">B3</f>
        <v>Brand B</v>
      </c>
      <c r="J3" t="str">
        <f t="shared" ref="J3:J13" si="2">C3</f>
        <v>Brand C</v>
      </c>
    </row>
    <row r="4" spans="1:10" x14ac:dyDescent="0.25">
      <c r="A4">
        <v>1020</v>
      </c>
      <c r="B4">
        <v>840</v>
      </c>
      <c r="C4">
        <v>1430</v>
      </c>
      <c r="E4">
        <v>1</v>
      </c>
      <c r="F4">
        <f t="shared" si="0"/>
        <v>1020</v>
      </c>
      <c r="G4">
        <v>2</v>
      </c>
      <c r="H4">
        <f t="shared" si="1"/>
        <v>840</v>
      </c>
      <c r="I4">
        <v>3</v>
      </c>
      <c r="J4">
        <f t="shared" si="2"/>
        <v>1430</v>
      </c>
    </row>
    <row r="5" spans="1:10" x14ac:dyDescent="0.25">
      <c r="A5">
        <v>1560</v>
      </c>
      <c r="B5">
        <v>940</v>
      </c>
      <c r="C5">
        <v>1750</v>
      </c>
      <c r="E5">
        <v>1</v>
      </c>
      <c r="F5">
        <f t="shared" si="0"/>
        <v>1560</v>
      </c>
      <c r="G5">
        <v>2</v>
      </c>
      <c r="H5">
        <f t="shared" si="1"/>
        <v>940</v>
      </c>
      <c r="I5">
        <v>3</v>
      </c>
      <c r="J5">
        <f t="shared" si="2"/>
        <v>1750</v>
      </c>
    </row>
    <row r="6" spans="1:10" x14ac:dyDescent="0.25">
      <c r="A6">
        <v>560</v>
      </c>
      <c r="B6">
        <v>780</v>
      </c>
      <c r="C6">
        <v>870</v>
      </c>
      <c r="E6">
        <v>1</v>
      </c>
      <c r="F6">
        <f t="shared" si="0"/>
        <v>560</v>
      </c>
      <c r="G6">
        <v>2</v>
      </c>
      <c r="H6">
        <f t="shared" si="1"/>
        <v>780</v>
      </c>
      <c r="I6">
        <v>3</v>
      </c>
      <c r="J6">
        <f t="shared" si="2"/>
        <v>870</v>
      </c>
    </row>
    <row r="7" spans="1:10" x14ac:dyDescent="0.25">
      <c r="A7">
        <v>780</v>
      </c>
      <c r="B7">
        <v>650</v>
      </c>
      <c r="C7">
        <v>920</v>
      </c>
      <c r="E7">
        <v>1</v>
      </c>
      <c r="F7">
        <f t="shared" si="0"/>
        <v>780</v>
      </c>
      <c r="G7">
        <v>2</v>
      </c>
      <c r="H7">
        <f t="shared" si="1"/>
        <v>650</v>
      </c>
      <c r="I7">
        <v>3</v>
      </c>
      <c r="J7">
        <f t="shared" si="2"/>
        <v>920</v>
      </c>
    </row>
    <row r="8" spans="1:10" x14ac:dyDescent="0.25">
      <c r="A8">
        <v>990</v>
      </c>
      <c r="B8">
        <v>720</v>
      </c>
      <c r="C8">
        <v>1300</v>
      </c>
      <c r="E8">
        <v>1</v>
      </c>
      <c r="F8">
        <f t="shared" si="0"/>
        <v>990</v>
      </c>
      <c r="G8">
        <v>2</v>
      </c>
      <c r="H8">
        <f t="shared" si="1"/>
        <v>720</v>
      </c>
      <c r="I8">
        <v>3</v>
      </c>
      <c r="J8">
        <f t="shared" si="2"/>
        <v>1300</v>
      </c>
    </row>
    <row r="9" spans="1:10" x14ac:dyDescent="0.25">
      <c r="A9">
        <v>670</v>
      </c>
      <c r="B9">
        <v>430</v>
      </c>
      <c r="C9">
        <v>890</v>
      </c>
      <c r="E9">
        <v>1</v>
      </c>
      <c r="F9">
        <f t="shared" si="0"/>
        <v>670</v>
      </c>
      <c r="G9">
        <v>2</v>
      </c>
      <c r="H9">
        <f t="shared" si="1"/>
        <v>430</v>
      </c>
      <c r="I9">
        <v>3</v>
      </c>
      <c r="J9">
        <f t="shared" si="2"/>
        <v>890</v>
      </c>
    </row>
    <row r="10" spans="1:10" x14ac:dyDescent="0.25">
      <c r="A10">
        <v>510</v>
      </c>
      <c r="B10">
        <v>1850</v>
      </c>
      <c r="C10">
        <v>740</v>
      </c>
      <c r="E10">
        <v>1</v>
      </c>
      <c r="F10">
        <f t="shared" si="0"/>
        <v>510</v>
      </c>
      <c r="G10">
        <v>2</v>
      </c>
      <c r="H10">
        <f t="shared" si="1"/>
        <v>1850</v>
      </c>
      <c r="I10">
        <v>3</v>
      </c>
      <c r="J10">
        <f t="shared" si="2"/>
        <v>740</v>
      </c>
    </row>
    <row r="11" spans="1:10" x14ac:dyDescent="0.25">
      <c r="A11">
        <v>490</v>
      </c>
      <c r="B11">
        <v>300</v>
      </c>
      <c r="C11">
        <v>720</v>
      </c>
      <c r="E11">
        <v>1</v>
      </c>
      <c r="F11">
        <f t="shared" si="0"/>
        <v>490</v>
      </c>
      <c r="G11">
        <v>2</v>
      </c>
      <c r="H11">
        <f t="shared" si="1"/>
        <v>300</v>
      </c>
      <c r="I11">
        <v>3</v>
      </c>
      <c r="J11">
        <f t="shared" si="2"/>
        <v>720</v>
      </c>
    </row>
    <row r="12" spans="1:10" x14ac:dyDescent="0.25">
      <c r="A12">
        <v>380</v>
      </c>
      <c r="B12">
        <v>360</v>
      </c>
      <c r="C12">
        <v>430</v>
      </c>
      <c r="E12">
        <v>1</v>
      </c>
      <c r="F12">
        <f t="shared" si="0"/>
        <v>380</v>
      </c>
      <c r="G12">
        <v>2</v>
      </c>
      <c r="H12">
        <f t="shared" si="1"/>
        <v>360</v>
      </c>
      <c r="I12">
        <v>3</v>
      </c>
      <c r="J12">
        <f t="shared" si="2"/>
        <v>430</v>
      </c>
    </row>
    <row r="13" spans="1:10" x14ac:dyDescent="0.25">
      <c r="A13" s="276">
        <v>880</v>
      </c>
      <c r="B13" s="276">
        <v>690</v>
      </c>
      <c r="C13" s="276">
        <v>1050</v>
      </c>
      <c r="E13">
        <v>1</v>
      </c>
      <c r="F13">
        <f t="shared" si="0"/>
        <v>880</v>
      </c>
      <c r="G13">
        <v>2</v>
      </c>
      <c r="H13">
        <f t="shared" si="1"/>
        <v>690</v>
      </c>
      <c r="I13">
        <v>3</v>
      </c>
      <c r="J13">
        <f t="shared" si="2"/>
        <v>1050</v>
      </c>
    </row>
    <row r="15" spans="1:10" x14ac:dyDescent="0.25">
      <c r="A15" t="str">
        <f>A3</f>
        <v>Brand A</v>
      </c>
      <c r="B15" t="str">
        <f>B3</f>
        <v>Brand B</v>
      </c>
      <c r="C15" t="str">
        <f>C3</f>
        <v>Brand C</v>
      </c>
    </row>
    <row r="16" spans="1:10" x14ac:dyDescent="0.25">
      <c r="A16">
        <v>0</v>
      </c>
      <c r="B16">
        <v>0</v>
      </c>
      <c r="C16">
        <v>0</v>
      </c>
    </row>
  </sheetData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/>
  <dimension ref="A1:C13"/>
  <sheetViews>
    <sheetView topLeftCell="A2" workbookViewId="0">
      <selection activeCell="M19" sqref="M19"/>
    </sheetView>
  </sheetViews>
  <sheetFormatPr defaultRowHeight="15" x14ac:dyDescent="0.25"/>
  <cols>
    <col min="1" max="3" width="7.85546875" customWidth="1"/>
    <col min="4" max="4" width="9.140625" customWidth="1"/>
  </cols>
  <sheetData>
    <row r="1" spans="1:3" x14ac:dyDescent="0.25">
      <c r="A1" s="1" t="s">
        <v>1738</v>
      </c>
      <c r="B1" s="1"/>
      <c r="C1" s="1"/>
    </row>
    <row r="3" spans="1:3" x14ac:dyDescent="0.25">
      <c r="A3" s="580" t="s">
        <v>3</v>
      </c>
      <c r="B3" s="580" t="s">
        <v>4</v>
      </c>
      <c r="C3" s="580" t="s">
        <v>5</v>
      </c>
    </row>
    <row r="4" spans="1:3" x14ac:dyDescent="0.25">
      <c r="A4">
        <v>1020</v>
      </c>
      <c r="B4">
        <v>840</v>
      </c>
      <c r="C4">
        <v>1430</v>
      </c>
    </row>
    <row r="5" spans="1:3" x14ac:dyDescent="0.25">
      <c r="A5">
        <v>1560</v>
      </c>
      <c r="B5">
        <v>940</v>
      </c>
      <c r="C5">
        <v>1750</v>
      </c>
    </row>
    <row r="6" spans="1:3" x14ac:dyDescent="0.25">
      <c r="A6">
        <v>560</v>
      </c>
      <c r="B6">
        <v>780</v>
      </c>
      <c r="C6">
        <v>870</v>
      </c>
    </row>
    <row r="7" spans="1:3" x14ac:dyDescent="0.25">
      <c r="A7">
        <v>780</v>
      </c>
      <c r="B7">
        <v>650</v>
      </c>
      <c r="C7">
        <v>920</v>
      </c>
    </row>
    <row r="8" spans="1:3" x14ac:dyDescent="0.25">
      <c r="A8">
        <v>990</v>
      </c>
      <c r="B8">
        <v>720</v>
      </c>
      <c r="C8">
        <v>1300</v>
      </c>
    </row>
    <row r="9" spans="1:3" x14ac:dyDescent="0.25">
      <c r="A9">
        <v>670</v>
      </c>
      <c r="B9">
        <v>430</v>
      </c>
      <c r="C9">
        <v>890</v>
      </c>
    </row>
    <row r="10" spans="1:3" x14ac:dyDescent="0.25">
      <c r="A10">
        <v>510</v>
      </c>
      <c r="B10">
        <v>1850</v>
      </c>
      <c r="C10">
        <v>740</v>
      </c>
    </row>
    <row r="11" spans="1:3" x14ac:dyDescent="0.25">
      <c r="A11">
        <v>490</v>
      </c>
      <c r="B11">
        <v>300</v>
      </c>
      <c r="C11">
        <v>720</v>
      </c>
    </row>
    <row r="12" spans="1:3" x14ac:dyDescent="0.25">
      <c r="A12">
        <v>380</v>
      </c>
      <c r="B12">
        <v>360</v>
      </c>
      <c r="C12">
        <v>430</v>
      </c>
    </row>
    <row r="13" spans="1:3" x14ac:dyDescent="0.25">
      <c r="A13" s="276">
        <v>880</v>
      </c>
      <c r="B13" s="276">
        <v>690</v>
      </c>
      <c r="C13" s="276">
        <v>1050</v>
      </c>
    </row>
  </sheetData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5"/>
  <dimension ref="A1:O55"/>
  <sheetViews>
    <sheetView workbookViewId="0"/>
  </sheetViews>
  <sheetFormatPr defaultRowHeight="15" x14ac:dyDescent="0.25"/>
  <cols>
    <col min="1" max="1" width="13" customWidth="1"/>
    <col min="2" max="5" width="8.140625" customWidth="1"/>
  </cols>
  <sheetData>
    <row r="1" spans="1:13" x14ac:dyDescent="0.25">
      <c r="A1" s="1" t="s">
        <v>1193</v>
      </c>
    </row>
    <row r="3" spans="1:13" x14ac:dyDescent="0.25">
      <c r="A3" t="s">
        <v>721</v>
      </c>
    </row>
    <row r="5" spans="1:13" x14ac:dyDescent="0.25">
      <c r="A5" s="161"/>
      <c r="B5" s="594" t="s">
        <v>301</v>
      </c>
      <c r="C5" s="595"/>
      <c r="D5" s="594" t="s">
        <v>1194</v>
      </c>
      <c r="E5" s="595"/>
    </row>
    <row r="6" spans="1:13" x14ac:dyDescent="0.25">
      <c r="A6" s="423" t="s">
        <v>753</v>
      </c>
      <c r="B6" s="424" t="s">
        <v>1208</v>
      </c>
      <c r="C6" s="425" t="s">
        <v>1207</v>
      </c>
      <c r="D6" s="424" t="s">
        <v>1208</v>
      </c>
      <c r="E6" s="425" t="s">
        <v>1207</v>
      </c>
      <c r="F6" s="424" t="s">
        <v>722</v>
      </c>
      <c r="G6" s="425" t="s">
        <v>723</v>
      </c>
      <c r="H6" s="426" t="s">
        <v>724</v>
      </c>
      <c r="K6" s="418" t="s">
        <v>719</v>
      </c>
      <c r="L6" s="418" t="s">
        <v>718</v>
      </c>
    </row>
    <row r="7" spans="1:13" x14ac:dyDescent="0.25">
      <c r="A7" s="163"/>
      <c r="B7" s="280"/>
      <c r="C7" s="281"/>
      <c r="D7" s="316">
        <v>0</v>
      </c>
      <c r="E7" s="317">
        <v>0</v>
      </c>
      <c r="F7" s="316">
        <f t="shared" ref="F7:G17" si="0">1-D7/D$17</f>
        <v>1</v>
      </c>
      <c r="G7" s="292">
        <f t="shared" si="0"/>
        <v>1</v>
      </c>
      <c r="H7" s="317">
        <f t="shared" ref="H7:H17" si="1">(F7-F8)*G7</f>
        <v>6.4516129032258007E-2</v>
      </c>
      <c r="J7" t="s">
        <v>716</v>
      </c>
      <c r="K7" s="316">
        <f>INDEX(D8:D17,K13)</f>
        <v>413</v>
      </c>
      <c r="L7" s="317">
        <f>INDEX(E8:E17,K13)</f>
        <v>58</v>
      </c>
      <c r="M7">
        <f>L7+K7</f>
        <v>471</v>
      </c>
    </row>
    <row r="8" spans="1:13" x14ac:dyDescent="0.25">
      <c r="A8" s="433" t="s">
        <v>1195</v>
      </c>
      <c r="B8" s="280">
        <v>34</v>
      </c>
      <c r="C8" s="281">
        <v>3</v>
      </c>
      <c r="D8" s="166">
        <f>D7+B8</f>
        <v>34</v>
      </c>
      <c r="E8" s="167">
        <f>E7+C8</f>
        <v>3</v>
      </c>
      <c r="F8" s="166">
        <f t="shared" si="0"/>
        <v>0.93548387096774199</v>
      </c>
      <c r="G8" s="8">
        <f t="shared" si="0"/>
        <v>0.989247311827957</v>
      </c>
      <c r="H8" s="167">
        <f t="shared" si="1"/>
        <v>0.11825916630960405</v>
      </c>
      <c r="J8" t="s">
        <v>715</v>
      </c>
      <c r="K8" s="148">
        <f>K9-K7</f>
        <v>114</v>
      </c>
      <c r="L8" s="153">
        <f>L9-L7</f>
        <v>221</v>
      </c>
      <c r="M8">
        <f>L8+K8</f>
        <v>335</v>
      </c>
    </row>
    <row r="9" spans="1:13" x14ac:dyDescent="0.25">
      <c r="A9" s="433" t="s">
        <v>1196</v>
      </c>
      <c r="B9" s="280">
        <v>63</v>
      </c>
      <c r="C9" s="281">
        <v>7</v>
      </c>
      <c r="D9" s="166">
        <f t="shared" ref="D9:E17" si="2">D8+B9</f>
        <v>97</v>
      </c>
      <c r="E9" s="167">
        <f t="shared" si="2"/>
        <v>10</v>
      </c>
      <c r="F9" s="166">
        <f>1-D9/D$17</f>
        <v>0.81593927893738138</v>
      </c>
      <c r="G9" s="8">
        <f t="shared" si="0"/>
        <v>0.96415770609318996</v>
      </c>
      <c r="H9" s="167">
        <f t="shared" si="1"/>
        <v>0.16099787122618733</v>
      </c>
      <c r="K9">
        <f>B18</f>
        <v>527</v>
      </c>
      <c r="L9">
        <f>C18</f>
        <v>279</v>
      </c>
      <c r="M9">
        <f>L9+K9</f>
        <v>806</v>
      </c>
    </row>
    <row r="10" spans="1:13" x14ac:dyDescent="0.25">
      <c r="A10" s="433" t="s">
        <v>1197</v>
      </c>
      <c r="B10" s="280">
        <v>88</v>
      </c>
      <c r="C10" s="281">
        <v>11</v>
      </c>
      <c r="D10" s="166">
        <f t="shared" si="2"/>
        <v>185</v>
      </c>
      <c r="E10" s="167">
        <f t="shared" si="2"/>
        <v>21</v>
      </c>
      <c r="F10" s="166">
        <f t="shared" si="0"/>
        <v>0.64895635673624286</v>
      </c>
      <c r="G10" s="8">
        <f t="shared" si="0"/>
        <v>0.92473118279569888</v>
      </c>
      <c r="H10" s="167">
        <f t="shared" si="1"/>
        <v>0.18424435330844094</v>
      </c>
    </row>
    <row r="11" spans="1:13" x14ac:dyDescent="0.25">
      <c r="A11" s="433" t="s">
        <v>1198</v>
      </c>
      <c r="B11" s="280">
        <v>105</v>
      </c>
      <c r="C11" s="281">
        <v>14</v>
      </c>
      <c r="D11" s="166">
        <f t="shared" si="2"/>
        <v>290</v>
      </c>
      <c r="E11" s="167">
        <f t="shared" si="2"/>
        <v>35</v>
      </c>
      <c r="F11" s="166">
        <f t="shared" si="0"/>
        <v>0.44971537001897532</v>
      </c>
      <c r="G11" s="8">
        <f t="shared" si="0"/>
        <v>0.87455197132616491</v>
      </c>
      <c r="H11" s="167">
        <f t="shared" si="1"/>
        <v>0.20411744302299484</v>
      </c>
      <c r="J11" t="s">
        <v>742</v>
      </c>
      <c r="K11" s="284">
        <f>K7/K9</f>
        <v>0.78368121442125238</v>
      </c>
      <c r="L11" s="285">
        <f>L8/L9</f>
        <v>0.79211469534050183</v>
      </c>
      <c r="M11">
        <f>(L8+K7)/M9</f>
        <v>0.78660049627791562</v>
      </c>
    </row>
    <row r="12" spans="1:13" x14ac:dyDescent="0.25">
      <c r="A12" s="433" t="s">
        <v>1199</v>
      </c>
      <c r="B12" s="280">
        <v>123</v>
      </c>
      <c r="C12" s="281">
        <v>23</v>
      </c>
      <c r="D12" s="166">
        <f t="shared" si="2"/>
        <v>413</v>
      </c>
      <c r="E12" s="167">
        <f t="shared" si="2"/>
        <v>58</v>
      </c>
      <c r="F12" s="166">
        <f t="shared" si="0"/>
        <v>0.21631878557874762</v>
      </c>
      <c r="G12" s="8">
        <f t="shared" si="0"/>
        <v>0.79211469534050183</v>
      </c>
      <c r="H12" s="167">
        <f t="shared" si="1"/>
        <v>0.14279107411261421</v>
      </c>
    </row>
    <row r="13" spans="1:13" x14ac:dyDescent="0.25">
      <c r="A13" s="433" t="s">
        <v>1200</v>
      </c>
      <c r="B13" s="280">
        <v>95</v>
      </c>
      <c r="C13" s="281">
        <v>60</v>
      </c>
      <c r="D13" s="166">
        <f t="shared" si="2"/>
        <v>508</v>
      </c>
      <c r="E13" s="167">
        <f t="shared" si="2"/>
        <v>118</v>
      </c>
      <c r="F13" s="166">
        <f t="shared" si="0"/>
        <v>3.6053130929791233E-2</v>
      </c>
      <c r="G13" s="8">
        <f t="shared" si="0"/>
        <v>0.57706093189964158</v>
      </c>
      <c r="H13" s="167">
        <f t="shared" si="1"/>
        <v>9.8549305258003369E-3</v>
      </c>
      <c r="J13" t="s">
        <v>720</v>
      </c>
      <c r="K13" s="286">
        <v>5</v>
      </c>
    </row>
    <row r="14" spans="1:13" x14ac:dyDescent="0.25">
      <c r="A14" s="433" t="s">
        <v>1201</v>
      </c>
      <c r="B14" s="280">
        <v>9</v>
      </c>
      <c r="C14" s="281">
        <v>75</v>
      </c>
      <c r="D14" s="166">
        <f t="shared" si="2"/>
        <v>517</v>
      </c>
      <c r="E14" s="167">
        <f t="shared" si="2"/>
        <v>193</v>
      </c>
      <c r="F14" s="166">
        <f t="shared" si="0"/>
        <v>1.8975332068311146E-2</v>
      </c>
      <c r="G14" s="8">
        <f t="shared" si="0"/>
        <v>0.30824372759856633</v>
      </c>
      <c r="H14" s="167">
        <f t="shared" si="1"/>
        <v>3.5094162534941046E-3</v>
      </c>
    </row>
    <row r="15" spans="1:13" x14ac:dyDescent="0.25">
      <c r="A15" s="433" t="s">
        <v>1202</v>
      </c>
      <c r="B15" s="280">
        <v>6</v>
      </c>
      <c r="C15" s="281">
        <v>41</v>
      </c>
      <c r="D15" s="166">
        <f t="shared" si="2"/>
        <v>523</v>
      </c>
      <c r="E15" s="167">
        <f t="shared" si="2"/>
        <v>234</v>
      </c>
      <c r="F15" s="166">
        <f t="shared" si="0"/>
        <v>7.5901328273244584E-3</v>
      </c>
      <c r="G15" s="8">
        <f t="shared" si="0"/>
        <v>0.16129032258064513</v>
      </c>
      <c r="H15" s="167">
        <f t="shared" si="1"/>
        <v>1.224214972149106E-3</v>
      </c>
    </row>
    <row r="16" spans="1:13" x14ac:dyDescent="0.25">
      <c r="A16" s="433" t="s">
        <v>1203</v>
      </c>
      <c r="B16" s="280">
        <v>4</v>
      </c>
      <c r="C16" s="281">
        <v>30</v>
      </c>
      <c r="D16" s="166">
        <f t="shared" si="2"/>
        <v>527</v>
      </c>
      <c r="E16" s="167">
        <f t="shared" si="2"/>
        <v>264</v>
      </c>
      <c r="F16" s="166">
        <f t="shared" si="0"/>
        <v>0</v>
      </c>
      <c r="G16" s="8">
        <f t="shared" si="0"/>
        <v>5.3763440860215006E-2</v>
      </c>
      <c r="H16" s="167">
        <f t="shared" si="1"/>
        <v>0</v>
      </c>
    </row>
    <row r="17" spans="1:15" x14ac:dyDescent="0.25">
      <c r="A17" s="434" t="s">
        <v>1204</v>
      </c>
      <c r="B17" s="412">
        <v>0</v>
      </c>
      <c r="C17" s="413">
        <v>15</v>
      </c>
      <c r="D17" s="148">
        <f t="shared" si="2"/>
        <v>527</v>
      </c>
      <c r="E17" s="153">
        <f t="shared" si="2"/>
        <v>279</v>
      </c>
      <c r="F17" s="148">
        <f t="shared" si="0"/>
        <v>0</v>
      </c>
      <c r="G17" s="276">
        <f t="shared" si="0"/>
        <v>0</v>
      </c>
      <c r="H17" s="153">
        <f t="shared" si="1"/>
        <v>0</v>
      </c>
    </row>
    <row r="18" spans="1:15" x14ac:dyDescent="0.25">
      <c r="B18">
        <f>SUM(B8:B17)</f>
        <v>527</v>
      </c>
      <c r="C18">
        <f>SUM(C8:C17)</f>
        <v>279</v>
      </c>
      <c r="H18">
        <f>SUM(H7:H17)</f>
        <v>0.88951459876354277</v>
      </c>
    </row>
    <row r="20" spans="1:15" x14ac:dyDescent="0.25">
      <c r="A20" t="s">
        <v>1205</v>
      </c>
    </row>
    <row r="22" spans="1:15" x14ac:dyDescent="0.25">
      <c r="E22" t="s">
        <v>721</v>
      </c>
    </row>
    <row r="24" spans="1:15" x14ac:dyDescent="0.25">
      <c r="A24" s="423" t="s">
        <v>753</v>
      </c>
      <c r="B24" s="424" t="s">
        <v>1208</v>
      </c>
      <c r="C24" s="426" t="s">
        <v>1207</v>
      </c>
      <c r="E24" s="435" t="s">
        <v>695</v>
      </c>
      <c r="F24" s="424" t="s">
        <v>1208</v>
      </c>
      <c r="G24" s="426" t="s">
        <v>1207</v>
      </c>
      <c r="H24" s="428" t="s">
        <v>722</v>
      </c>
      <c r="I24" s="428" t="s">
        <v>723</v>
      </c>
      <c r="J24" s="429" t="s">
        <v>724</v>
      </c>
      <c r="L24" s="592" t="s">
        <v>717</v>
      </c>
      <c r="M24" s="592"/>
      <c r="N24" s="592"/>
      <c r="O24" s="592"/>
    </row>
    <row r="25" spans="1:15" x14ac:dyDescent="0.25">
      <c r="A25" s="433" t="s">
        <v>1195</v>
      </c>
      <c r="B25" s="280">
        <v>34</v>
      </c>
      <c r="C25" s="281">
        <v>3</v>
      </c>
      <c r="E25" s="238">
        <v>0</v>
      </c>
      <c r="F25" s="430">
        <v>0</v>
      </c>
      <c r="G25" s="432">
        <v>0</v>
      </c>
      <c r="H25" s="431">
        <f>1-F25/F$35</f>
        <v>1</v>
      </c>
      <c r="I25" s="431">
        <f>1-G25/G$35</f>
        <v>1</v>
      </c>
      <c r="J25" s="432">
        <f>(H25-H26)*I25</f>
        <v>6.4516129032258007E-2</v>
      </c>
    </row>
    <row r="26" spans="1:15" x14ac:dyDescent="0.25">
      <c r="A26" s="433" t="s">
        <v>1196</v>
      </c>
      <c r="B26" s="280">
        <v>63</v>
      </c>
      <c r="C26" s="281">
        <v>7</v>
      </c>
      <c r="E26" s="238">
        <f>E25+1</f>
        <v>1</v>
      </c>
      <c r="F26" s="162">
        <f>F25+B25</f>
        <v>34</v>
      </c>
      <c r="G26" s="102">
        <f>G25+C25</f>
        <v>3</v>
      </c>
      <c r="H26" s="8">
        <f t="shared" ref="H26:H35" si="3">1-F26/F$35</f>
        <v>0.93548387096774199</v>
      </c>
      <c r="I26" s="8">
        <f t="shared" ref="I26:I35" si="4">1-G26/G$35</f>
        <v>0.989247311827957</v>
      </c>
      <c r="J26" s="102">
        <f t="shared" ref="J26:J35" si="5">(H26-H27)*I26</f>
        <v>0.11825916630960405</v>
      </c>
      <c r="M26" s="418" t="s">
        <v>719</v>
      </c>
      <c r="N26" s="418" t="s">
        <v>718</v>
      </c>
    </row>
    <row r="27" spans="1:15" x14ac:dyDescent="0.25">
      <c r="A27" s="433" t="s">
        <v>1197</v>
      </c>
      <c r="B27" s="280">
        <v>88</v>
      </c>
      <c r="C27" s="281">
        <v>11</v>
      </c>
      <c r="E27" s="238">
        <f t="shared" ref="E27:E35" si="6">E26+1</f>
        <v>2</v>
      </c>
      <c r="F27" s="162">
        <f t="shared" ref="F27:F35" si="7">F26+B26</f>
        <v>97</v>
      </c>
      <c r="G27" s="102">
        <f t="shared" ref="G27:G35" si="8">G26+C26</f>
        <v>10</v>
      </c>
      <c r="H27" s="8">
        <f t="shared" si="3"/>
        <v>0.81593927893738138</v>
      </c>
      <c r="I27" s="8">
        <f t="shared" si="4"/>
        <v>0.96415770609318996</v>
      </c>
      <c r="J27" s="102">
        <f t="shared" si="5"/>
        <v>0.16099787122618733</v>
      </c>
      <c r="L27" t="s">
        <v>716</v>
      </c>
      <c r="M27" s="430">
        <f>INDEX(F25:F34,M33+1)</f>
        <v>413</v>
      </c>
      <c r="N27" s="432">
        <f>INDEX(G25:G34,M33+1)</f>
        <v>58</v>
      </c>
      <c r="O27">
        <f>M27+N27</f>
        <v>471</v>
      </c>
    </row>
    <row r="28" spans="1:15" x14ac:dyDescent="0.25">
      <c r="A28" s="433" t="s">
        <v>1198</v>
      </c>
      <c r="B28" s="280">
        <v>105</v>
      </c>
      <c r="C28" s="281">
        <v>14</v>
      </c>
      <c r="E28" s="238">
        <f t="shared" si="6"/>
        <v>3</v>
      </c>
      <c r="F28" s="162">
        <f t="shared" si="7"/>
        <v>185</v>
      </c>
      <c r="G28" s="102">
        <f t="shared" si="8"/>
        <v>21</v>
      </c>
      <c r="H28" s="8">
        <f t="shared" si="3"/>
        <v>0.64895635673624286</v>
      </c>
      <c r="I28" s="8">
        <f t="shared" si="4"/>
        <v>0.92473118279569888</v>
      </c>
      <c r="J28" s="102">
        <f t="shared" si="5"/>
        <v>0.18424435330844094</v>
      </c>
      <c r="L28" t="s">
        <v>715</v>
      </c>
      <c r="M28" s="273">
        <f>M29-M27</f>
        <v>114</v>
      </c>
      <c r="N28" s="275">
        <f>N29-N27</f>
        <v>221</v>
      </c>
      <c r="O28">
        <f>M28+N28</f>
        <v>335</v>
      </c>
    </row>
    <row r="29" spans="1:15" x14ac:dyDescent="0.25">
      <c r="A29" s="433" t="s">
        <v>1199</v>
      </c>
      <c r="B29" s="280">
        <v>123</v>
      </c>
      <c r="C29" s="281">
        <v>23</v>
      </c>
      <c r="E29" s="238">
        <f t="shared" si="6"/>
        <v>4</v>
      </c>
      <c r="F29" s="162">
        <f t="shared" si="7"/>
        <v>290</v>
      </c>
      <c r="G29" s="102">
        <f t="shared" si="8"/>
        <v>35</v>
      </c>
      <c r="H29" s="8">
        <f t="shared" si="3"/>
        <v>0.44971537001897532</v>
      </c>
      <c r="I29" s="8">
        <f t="shared" si="4"/>
        <v>0.87455197132616491</v>
      </c>
      <c r="J29" s="102">
        <f t="shared" si="5"/>
        <v>0.20411744302299484</v>
      </c>
      <c r="M29">
        <f>F35</f>
        <v>527</v>
      </c>
      <c r="N29">
        <f>G35</f>
        <v>279</v>
      </c>
      <c r="O29">
        <f>M29+N29</f>
        <v>806</v>
      </c>
    </row>
    <row r="30" spans="1:15" x14ac:dyDescent="0.25">
      <c r="A30" s="433" t="s">
        <v>1200</v>
      </c>
      <c r="B30" s="280">
        <v>95</v>
      </c>
      <c r="C30" s="281">
        <v>60</v>
      </c>
      <c r="E30" s="238">
        <f t="shared" si="6"/>
        <v>5</v>
      </c>
      <c r="F30" s="162">
        <f t="shared" si="7"/>
        <v>413</v>
      </c>
      <c r="G30" s="102">
        <f t="shared" si="8"/>
        <v>58</v>
      </c>
      <c r="H30" s="8">
        <f t="shared" si="3"/>
        <v>0.21631878557874762</v>
      </c>
      <c r="I30" s="8">
        <f t="shared" si="4"/>
        <v>0.79211469534050183</v>
      </c>
      <c r="J30" s="102">
        <f t="shared" si="5"/>
        <v>0.14279107411261421</v>
      </c>
    </row>
    <row r="31" spans="1:15" x14ac:dyDescent="0.25">
      <c r="A31" s="433" t="s">
        <v>1201</v>
      </c>
      <c r="B31" s="280">
        <v>9</v>
      </c>
      <c r="C31" s="281">
        <v>75</v>
      </c>
      <c r="E31" s="238">
        <f t="shared" si="6"/>
        <v>6</v>
      </c>
      <c r="F31" s="162">
        <f t="shared" si="7"/>
        <v>508</v>
      </c>
      <c r="G31" s="102">
        <f t="shared" si="8"/>
        <v>118</v>
      </c>
      <c r="H31" s="8">
        <f t="shared" si="3"/>
        <v>3.6053130929791233E-2</v>
      </c>
      <c r="I31" s="8">
        <f t="shared" si="4"/>
        <v>0.57706093189964158</v>
      </c>
      <c r="J31" s="102">
        <f t="shared" si="5"/>
        <v>9.8549305258003369E-3</v>
      </c>
      <c r="L31" t="s">
        <v>742</v>
      </c>
      <c r="M31" s="421">
        <f>M27/M29</f>
        <v>0.78368121442125238</v>
      </c>
      <c r="N31" s="422">
        <f>N28/N29</f>
        <v>0.79211469534050183</v>
      </c>
      <c r="O31">
        <f>(M27+N28)/O29</f>
        <v>0.78660049627791562</v>
      </c>
    </row>
    <row r="32" spans="1:15" x14ac:dyDescent="0.25">
      <c r="A32" s="433" t="s">
        <v>1202</v>
      </c>
      <c r="B32" s="280">
        <v>6</v>
      </c>
      <c r="C32" s="281">
        <v>41</v>
      </c>
      <c r="E32" s="238">
        <f t="shared" si="6"/>
        <v>7</v>
      </c>
      <c r="F32" s="162">
        <f t="shared" si="7"/>
        <v>517</v>
      </c>
      <c r="G32" s="102">
        <f t="shared" si="8"/>
        <v>193</v>
      </c>
      <c r="H32" s="8">
        <f t="shared" si="3"/>
        <v>1.8975332068311146E-2</v>
      </c>
      <c r="I32" s="8">
        <f t="shared" si="4"/>
        <v>0.30824372759856633</v>
      </c>
      <c r="J32" s="102">
        <f t="shared" si="5"/>
        <v>3.5094162534941046E-3</v>
      </c>
    </row>
    <row r="33" spans="1:15" x14ac:dyDescent="0.25">
      <c r="A33" s="433" t="s">
        <v>1203</v>
      </c>
      <c r="B33" s="280">
        <v>4</v>
      </c>
      <c r="C33" s="281">
        <v>30</v>
      </c>
      <c r="E33" s="238">
        <f t="shared" si="6"/>
        <v>8</v>
      </c>
      <c r="F33" s="162">
        <f t="shared" si="7"/>
        <v>523</v>
      </c>
      <c r="G33" s="102">
        <f t="shared" si="8"/>
        <v>234</v>
      </c>
      <c r="H33" s="8">
        <f t="shared" si="3"/>
        <v>7.5901328273244584E-3</v>
      </c>
      <c r="I33" s="8">
        <f t="shared" si="4"/>
        <v>0.16129032258064513</v>
      </c>
      <c r="J33" s="102">
        <f t="shared" si="5"/>
        <v>1.224214972149106E-3</v>
      </c>
      <c r="L33" t="s">
        <v>720</v>
      </c>
      <c r="M33" s="420">
        <v>5</v>
      </c>
    </row>
    <row r="34" spans="1:15" x14ac:dyDescent="0.25">
      <c r="A34" s="434" t="s">
        <v>1204</v>
      </c>
      <c r="B34" s="412">
        <v>0</v>
      </c>
      <c r="C34" s="413">
        <v>15</v>
      </c>
      <c r="E34" s="238">
        <f t="shared" si="6"/>
        <v>9</v>
      </c>
      <c r="F34" s="162">
        <f t="shared" si="7"/>
        <v>527</v>
      </c>
      <c r="G34" s="102">
        <f t="shared" si="8"/>
        <v>264</v>
      </c>
      <c r="H34" s="8">
        <f t="shared" si="3"/>
        <v>0</v>
      </c>
      <c r="I34" s="8">
        <f t="shared" si="4"/>
        <v>5.3763440860215006E-2</v>
      </c>
      <c r="J34" s="102">
        <f t="shared" si="5"/>
        <v>0</v>
      </c>
    </row>
    <row r="35" spans="1:15" x14ac:dyDescent="0.25">
      <c r="B35">
        <f>SUM(B25:B34)</f>
        <v>527</v>
      </c>
      <c r="C35">
        <f>SUM(C25:C34)</f>
        <v>279</v>
      </c>
      <c r="E35" s="272">
        <f t="shared" si="6"/>
        <v>10</v>
      </c>
      <c r="F35" s="273">
        <f t="shared" si="7"/>
        <v>527</v>
      </c>
      <c r="G35" s="275">
        <f t="shared" si="8"/>
        <v>279</v>
      </c>
      <c r="H35" s="274">
        <f t="shared" si="3"/>
        <v>0</v>
      </c>
      <c r="I35" s="274">
        <f t="shared" si="4"/>
        <v>0</v>
      </c>
      <c r="J35" s="275">
        <f t="shared" si="5"/>
        <v>0</v>
      </c>
    </row>
    <row r="36" spans="1:15" x14ac:dyDescent="0.25">
      <c r="J36">
        <f>SUM(J25:J35)</f>
        <v>0.88951459876354277</v>
      </c>
    </row>
    <row r="39" spans="1:15" x14ac:dyDescent="0.25">
      <c r="A39" s="436" t="s">
        <v>1253</v>
      </c>
    </row>
    <row r="41" spans="1:15" x14ac:dyDescent="0.25">
      <c r="E41" t="s">
        <v>721</v>
      </c>
    </row>
    <row r="43" spans="1:15" x14ac:dyDescent="0.25">
      <c r="A43" s="423" t="s">
        <v>753</v>
      </c>
      <c r="B43" s="424" t="s">
        <v>1208</v>
      </c>
      <c r="C43" s="426" t="s">
        <v>1207</v>
      </c>
      <c r="E43" s="435" t="s">
        <v>695</v>
      </c>
      <c r="F43" s="427" t="str">
        <f>B43</f>
        <v>Lives</v>
      </c>
      <c r="G43" s="429" t="str">
        <f>C43</f>
        <v>Dies</v>
      </c>
      <c r="H43" s="428" t="s">
        <v>722</v>
      </c>
      <c r="I43" s="428" t="s">
        <v>723</v>
      </c>
      <c r="J43" s="429" t="s">
        <v>724</v>
      </c>
      <c r="L43" s="592" t="s">
        <v>717</v>
      </c>
      <c r="M43" s="592"/>
      <c r="N43" s="592"/>
      <c r="O43" s="592"/>
    </row>
    <row r="44" spans="1:15" x14ac:dyDescent="0.25">
      <c r="A44" s="433" t="s">
        <v>1195</v>
      </c>
      <c r="B44" s="280">
        <v>34</v>
      </c>
      <c r="C44" s="281">
        <v>3</v>
      </c>
      <c r="E44" s="238">
        <v>0</v>
      </c>
      <c r="F44" s="430">
        <v>0</v>
      </c>
      <c r="G44" s="432">
        <v>0</v>
      </c>
      <c r="H44" s="431">
        <f>1-F44/F$54</f>
        <v>1</v>
      </c>
      <c r="I44" s="431">
        <f>1-G44/G$54</f>
        <v>1</v>
      </c>
      <c r="J44" s="432">
        <f>(H44-H45)*(I44+I45)/2</f>
        <v>6.416926812348242E-2</v>
      </c>
    </row>
    <row r="45" spans="1:15" x14ac:dyDescent="0.25">
      <c r="A45" s="433" t="s">
        <v>1196</v>
      </c>
      <c r="B45" s="280">
        <v>63</v>
      </c>
      <c r="C45" s="281">
        <v>7</v>
      </c>
      <c r="E45" s="238">
        <f>E44+1</f>
        <v>1</v>
      </c>
      <c r="F45" s="162">
        <f>F44+B44</f>
        <v>34</v>
      </c>
      <c r="G45" s="102">
        <f>G44+C44</f>
        <v>3</v>
      </c>
      <c r="H45" s="8">
        <f t="shared" ref="H45:H54" si="9">1-F45/F$54</f>
        <v>0.93548387096774199</v>
      </c>
      <c r="I45" s="8">
        <f t="shared" ref="I45:I54" si="10">1-G45/G$54</f>
        <v>0.989247311827957</v>
      </c>
      <c r="J45" s="102">
        <f t="shared" ref="J45:J54" si="11">(H45-H46)*(I45+I46)/2</f>
        <v>0.11675950296872138</v>
      </c>
      <c r="M45" s="418" t="s">
        <v>719</v>
      </c>
      <c r="N45" s="418" t="s">
        <v>718</v>
      </c>
    </row>
    <row r="46" spans="1:15" x14ac:dyDescent="0.25">
      <c r="A46" s="433" t="s">
        <v>1197</v>
      </c>
      <c r="B46" s="280">
        <v>88</v>
      </c>
      <c r="C46" s="281">
        <v>11</v>
      </c>
      <c r="E46" s="238">
        <f t="shared" ref="E46:E54" si="12">E45+1</f>
        <v>2</v>
      </c>
      <c r="F46" s="162">
        <f t="shared" ref="F46:F54" si="13">F45+B45</f>
        <v>97</v>
      </c>
      <c r="G46" s="102">
        <f t="shared" ref="G46:G54" si="14">G45+C45</f>
        <v>10</v>
      </c>
      <c r="H46" s="8">
        <f t="shared" si="9"/>
        <v>0.81593927893738138</v>
      </c>
      <c r="I46" s="8">
        <f t="shared" si="10"/>
        <v>0.96415770609318996</v>
      </c>
      <c r="J46" s="102">
        <f t="shared" si="11"/>
        <v>0.15770609318996417</v>
      </c>
      <c r="L46" t="s">
        <v>716</v>
      </c>
      <c r="M46" s="430">
        <f>INDEX(F44:F53,M52+1)</f>
        <v>413</v>
      </c>
      <c r="N46" s="432">
        <f>INDEX(G44:G53,M52+1)</f>
        <v>58</v>
      </c>
      <c r="O46">
        <f>M46+N46</f>
        <v>471</v>
      </c>
    </row>
    <row r="47" spans="1:15" x14ac:dyDescent="0.25">
      <c r="A47" s="433" t="s">
        <v>1198</v>
      </c>
      <c r="B47" s="280">
        <v>105</v>
      </c>
      <c r="C47" s="281">
        <v>14</v>
      </c>
      <c r="E47" s="238">
        <f t="shared" si="12"/>
        <v>3</v>
      </c>
      <c r="F47" s="162">
        <f t="shared" si="13"/>
        <v>185</v>
      </c>
      <c r="G47" s="102">
        <f t="shared" si="14"/>
        <v>21</v>
      </c>
      <c r="H47" s="8">
        <f t="shared" si="9"/>
        <v>0.64895635673624286</v>
      </c>
      <c r="I47" s="8">
        <f t="shared" si="10"/>
        <v>0.92473118279569888</v>
      </c>
      <c r="J47" s="102">
        <f t="shared" si="11"/>
        <v>0.17924547550549874</v>
      </c>
      <c r="L47" t="s">
        <v>715</v>
      </c>
      <c r="M47" s="273">
        <f>M48-M46</f>
        <v>114</v>
      </c>
      <c r="N47" s="275">
        <f>N48-N46</f>
        <v>221</v>
      </c>
      <c r="O47">
        <f>M47+N47</f>
        <v>335</v>
      </c>
    </row>
    <row r="48" spans="1:15" x14ac:dyDescent="0.25">
      <c r="A48" s="433" t="s">
        <v>1199</v>
      </c>
      <c r="B48" s="280">
        <v>123</v>
      </c>
      <c r="C48" s="281">
        <v>23</v>
      </c>
      <c r="E48" s="238">
        <f t="shared" si="12"/>
        <v>4</v>
      </c>
      <c r="F48" s="162">
        <f t="shared" si="13"/>
        <v>290</v>
      </c>
      <c r="G48" s="102">
        <f t="shared" si="14"/>
        <v>35</v>
      </c>
      <c r="H48" s="8">
        <f t="shared" si="9"/>
        <v>0.44971537001897532</v>
      </c>
      <c r="I48" s="8">
        <f t="shared" si="10"/>
        <v>0.87455197132616491</v>
      </c>
      <c r="J48" s="102">
        <f t="shared" si="11"/>
        <v>0.19449715370018977</v>
      </c>
      <c r="M48">
        <f>F54</f>
        <v>527</v>
      </c>
      <c r="N48">
        <f>G54</f>
        <v>279</v>
      </c>
      <c r="O48">
        <f>M48+N48</f>
        <v>806</v>
      </c>
    </row>
    <row r="49" spans="1:15" x14ac:dyDescent="0.25">
      <c r="A49" s="433" t="s">
        <v>1200</v>
      </c>
      <c r="B49" s="280">
        <v>95</v>
      </c>
      <c r="C49" s="281">
        <v>60</v>
      </c>
      <c r="E49" s="238">
        <f t="shared" si="12"/>
        <v>5</v>
      </c>
      <c r="F49" s="162">
        <f t="shared" si="13"/>
        <v>413</v>
      </c>
      <c r="G49" s="102">
        <f t="shared" si="14"/>
        <v>58</v>
      </c>
      <c r="H49" s="8">
        <f t="shared" si="9"/>
        <v>0.21631878557874762</v>
      </c>
      <c r="I49" s="8">
        <f t="shared" si="10"/>
        <v>0.79211469534050183</v>
      </c>
      <c r="J49" s="102">
        <f t="shared" si="11"/>
        <v>0.12340767038691997</v>
      </c>
    </row>
    <row r="50" spans="1:15" x14ac:dyDescent="0.25">
      <c r="A50" s="433" t="s">
        <v>1201</v>
      </c>
      <c r="B50" s="280">
        <v>9</v>
      </c>
      <c r="C50" s="281">
        <v>75</v>
      </c>
      <c r="E50" s="238">
        <f t="shared" si="12"/>
        <v>6</v>
      </c>
      <c r="F50" s="162">
        <f t="shared" si="13"/>
        <v>508</v>
      </c>
      <c r="G50" s="102">
        <f t="shared" si="14"/>
        <v>118</v>
      </c>
      <c r="H50" s="8">
        <f t="shared" si="9"/>
        <v>3.6053130929791233E-2</v>
      </c>
      <c r="I50" s="8">
        <f t="shared" si="10"/>
        <v>0.57706093189964158</v>
      </c>
      <c r="J50" s="102">
        <f t="shared" si="11"/>
        <v>7.5595274530207554E-3</v>
      </c>
      <c r="L50" t="s">
        <v>742</v>
      </c>
      <c r="M50" s="421">
        <f>M46/M48</f>
        <v>0.78368121442125238</v>
      </c>
      <c r="N50" s="422">
        <f>N47/N48</f>
        <v>0.79211469534050183</v>
      </c>
      <c r="O50">
        <f>(M46+N47)/O48</f>
        <v>0.78660049627791562</v>
      </c>
    </row>
    <row r="51" spans="1:15" x14ac:dyDescent="0.25">
      <c r="A51" s="433" t="s">
        <v>1202</v>
      </c>
      <c r="B51" s="280">
        <v>6</v>
      </c>
      <c r="C51" s="281">
        <v>41</v>
      </c>
      <c r="E51" s="238">
        <f t="shared" si="12"/>
        <v>7</v>
      </c>
      <c r="F51" s="162">
        <f t="shared" si="13"/>
        <v>517</v>
      </c>
      <c r="G51" s="102">
        <f t="shared" si="14"/>
        <v>193</v>
      </c>
      <c r="H51" s="8">
        <f t="shared" si="9"/>
        <v>1.8975332068311146E-2</v>
      </c>
      <c r="I51" s="8">
        <f t="shared" si="10"/>
        <v>0.30824372759856633</v>
      </c>
      <c r="J51" s="102">
        <f t="shared" si="11"/>
        <v>2.6728693558588819E-3</v>
      </c>
    </row>
    <row r="52" spans="1:15" x14ac:dyDescent="0.25">
      <c r="A52" s="433" t="s">
        <v>1203</v>
      </c>
      <c r="B52" s="280">
        <v>4</v>
      </c>
      <c r="C52" s="281">
        <v>30</v>
      </c>
      <c r="E52" s="238">
        <f t="shared" si="12"/>
        <v>8</v>
      </c>
      <c r="F52" s="162">
        <f t="shared" si="13"/>
        <v>523</v>
      </c>
      <c r="G52" s="102">
        <f t="shared" si="14"/>
        <v>234</v>
      </c>
      <c r="H52" s="8">
        <f t="shared" si="9"/>
        <v>7.5901328273244584E-3</v>
      </c>
      <c r="I52" s="8">
        <f t="shared" si="10"/>
        <v>0.16129032258064513</v>
      </c>
      <c r="J52" s="102">
        <f t="shared" si="11"/>
        <v>8.1614331476607049E-4</v>
      </c>
      <c r="L52" t="s">
        <v>720</v>
      </c>
      <c r="M52" s="420">
        <v>5</v>
      </c>
    </row>
    <row r="53" spans="1:15" x14ac:dyDescent="0.25">
      <c r="A53" s="434" t="s">
        <v>1204</v>
      </c>
      <c r="B53" s="412">
        <v>0</v>
      </c>
      <c r="C53" s="413">
        <v>15</v>
      </c>
      <c r="E53" s="238">
        <f t="shared" si="12"/>
        <v>9</v>
      </c>
      <c r="F53" s="162">
        <f t="shared" si="13"/>
        <v>527</v>
      </c>
      <c r="G53" s="102">
        <f t="shared" si="14"/>
        <v>264</v>
      </c>
      <c r="H53" s="8">
        <f t="shared" si="9"/>
        <v>0</v>
      </c>
      <c r="I53" s="8">
        <f t="shared" si="10"/>
        <v>5.3763440860215006E-2</v>
      </c>
      <c r="J53" s="102">
        <f t="shared" si="11"/>
        <v>0</v>
      </c>
    </row>
    <row r="54" spans="1:15" x14ac:dyDescent="0.25">
      <c r="B54">
        <f>SUM(B44:B53)</f>
        <v>527</v>
      </c>
      <c r="C54">
        <f>SUM(C44:C53)</f>
        <v>279</v>
      </c>
      <c r="E54" s="272">
        <f t="shared" si="12"/>
        <v>10</v>
      </c>
      <c r="F54" s="273">
        <f t="shared" si="13"/>
        <v>527</v>
      </c>
      <c r="G54" s="275">
        <f t="shared" si="14"/>
        <v>279</v>
      </c>
      <c r="H54" s="274">
        <f t="shared" si="9"/>
        <v>0</v>
      </c>
      <c r="I54" s="274">
        <f t="shared" si="10"/>
        <v>0</v>
      </c>
      <c r="J54" s="275">
        <f t="shared" si="11"/>
        <v>0</v>
      </c>
    </row>
    <row r="55" spans="1:15" x14ac:dyDescent="0.25">
      <c r="J55">
        <f>SUM(J44:J54)</f>
        <v>0.84683370399842217</v>
      </c>
    </row>
  </sheetData>
  <mergeCells count="4">
    <mergeCell ref="B5:C5"/>
    <mergeCell ref="D5:E5"/>
    <mergeCell ref="L24:O24"/>
    <mergeCell ref="L43:O43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6"/>
  <dimension ref="A1:O15"/>
  <sheetViews>
    <sheetView workbookViewId="0"/>
  </sheetViews>
  <sheetFormatPr defaultRowHeight="15" x14ac:dyDescent="0.25"/>
  <cols>
    <col min="2" max="3" width="10.28515625" customWidth="1"/>
  </cols>
  <sheetData>
    <row r="1" spans="1:15" x14ac:dyDescent="0.25">
      <c r="A1" s="1" t="s">
        <v>1192</v>
      </c>
      <c r="E1" t="s">
        <v>721</v>
      </c>
      <c r="L1" t="s">
        <v>717</v>
      </c>
    </row>
    <row r="3" spans="1:15" x14ac:dyDescent="0.25">
      <c r="A3" s="423" t="s">
        <v>753</v>
      </c>
      <c r="B3" s="424" t="s">
        <v>1208</v>
      </c>
      <c r="C3" s="426" t="s">
        <v>1207</v>
      </c>
      <c r="E3" s="446" t="str">
        <f>A3</f>
        <v>Dosage</v>
      </c>
      <c r="F3" s="440" t="str">
        <f>B3</f>
        <v>Lives</v>
      </c>
      <c r="G3" s="442" t="str">
        <f>C3</f>
        <v>Dies</v>
      </c>
      <c r="H3" s="441" t="s">
        <v>722</v>
      </c>
      <c r="I3" s="441" t="s">
        <v>723</v>
      </c>
      <c r="J3" s="442" t="s">
        <v>724</v>
      </c>
      <c r="M3" s="419" t="s">
        <v>719</v>
      </c>
      <c r="N3" s="419" t="s">
        <v>718</v>
      </c>
    </row>
    <row r="4" spans="1:15" x14ac:dyDescent="0.25">
      <c r="A4" s="437">
        <v>2</v>
      </c>
      <c r="B4" s="280">
        <v>34</v>
      </c>
      <c r="C4" s="281">
        <v>3</v>
      </c>
      <c r="E4" s="238"/>
      <c r="F4" s="443">
        <v>0</v>
      </c>
      <c r="G4" s="445">
        <v>0</v>
      </c>
      <c r="H4" s="444">
        <f>1-F4/F$14</f>
        <v>1</v>
      </c>
      <c r="I4" s="444">
        <f>1-G4/G$14</f>
        <v>1</v>
      </c>
      <c r="J4" s="445">
        <f>(H4-H5)*(I4+I5)/2</f>
        <v>6.416926812348242E-2</v>
      </c>
      <c r="L4" t="s">
        <v>716</v>
      </c>
      <c r="M4" s="443">
        <f>INDEX(F4:F13,MATCH(M10,E5:E14)+1)</f>
        <v>413</v>
      </c>
      <c r="N4" s="445">
        <f>INDEX(G4:G13,MATCH(M10,E5:E14)+1)</f>
        <v>58</v>
      </c>
      <c r="O4">
        <f>M4+N4</f>
        <v>471</v>
      </c>
    </row>
    <row r="5" spans="1:15" x14ac:dyDescent="0.25">
      <c r="A5" s="195">
        <f>A4+2</f>
        <v>4</v>
      </c>
      <c r="B5" s="280">
        <v>63</v>
      </c>
      <c r="C5" s="281">
        <v>7</v>
      </c>
      <c r="E5" s="238">
        <f>A4</f>
        <v>2</v>
      </c>
      <c r="F5" s="162">
        <f>F4+B4</f>
        <v>34</v>
      </c>
      <c r="G5" s="102">
        <f>G4+C4</f>
        <v>3</v>
      </c>
      <c r="H5" s="8">
        <f t="shared" ref="H5:H14" si="0">1-F5/F$14</f>
        <v>0.93548387096774199</v>
      </c>
      <c r="I5" s="8">
        <f t="shared" ref="I5:I14" si="1">1-G5/G$14</f>
        <v>0.989247311827957</v>
      </c>
      <c r="J5" s="102">
        <f t="shared" ref="J5:J14" si="2">(H5-H6)*(I5+I6)/2</f>
        <v>0.11675950296872138</v>
      </c>
      <c r="L5" t="s">
        <v>715</v>
      </c>
      <c r="M5" s="273">
        <f>M6-M4</f>
        <v>114</v>
      </c>
      <c r="N5" s="275">
        <f>N6-N4</f>
        <v>221</v>
      </c>
      <c r="O5">
        <f>M5+N5</f>
        <v>335</v>
      </c>
    </row>
    <row r="6" spans="1:15" x14ac:dyDescent="0.25">
      <c r="A6" s="195">
        <f t="shared" ref="A6:A13" si="3">A5+2</f>
        <v>6</v>
      </c>
      <c r="B6" s="280">
        <v>88</v>
      </c>
      <c r="C6" s="281">
        <v>11</v>
      </c>
      <c r="E6" s="238">
        <f t="shared" ref="E6:E14" si="4">A5</f>
        <v>4</v>
      </c>
      <c r="F6" s="162">
        <f t="shared" ref="F6:F14" si="5">F5+B5</f>
        <v>97</v>
      </c>
      <c r="G6" s="102">
        <f t="shared" ref="G6:G14" si="6">G5+C5</f>
        <v>10</v>
      </c>
      <c r="H6" s="8">
        <f t="shared" si="0"/>
        <v>0.81593927893738138</v>
      </c>
      <c r="I6" s="8">
        <f t="shared" si="1"/>
        <v>0.96415770609318996</v>
      </c>
      <c r="J6" s="102">
        <f t="shared" si="2"/>
        <v>0.15770609318996417</v>
      </c>
      <c r="M6">
        <f>F14</f>
        <v>527</v>
      </c>
      <c r="N6">
        <f>G14</f>
        <v>279</v>
      </c>
      <c r="O6">
        <f>M6+N6</f>
        <v>806</v>
      </c>
    </row>
    <row r="7" spans="1:15" x14ac:dyDescent="0.25">
      <c r="A7" s="195">
        <f t="shared" si="3"/>
        <v>8</v>
      </c>
      <c r="B7" s="280">
        <v>105</v>
      </c>
      <c r="C7" s="281">
        <v>14</v>
      </c>
      <c r="E7" s="238">
        <f t="shared" si="4"/>
        <v>6</v>
      </c>
      <c r="F7" s="162">
        <f t="shared" si="5"/>
        <v>185</v>
      </c>
      <c r="G7" s="102">
        <f t="shared" si="6"/>
        <v>21</v>
      </c>
      <c r="H7" s="8">
        <f t="shared" si="0"/>
        <v>0.64895635673624286</v>
      </c>
      <c r="I7" s="8">
        <f t="shared" si="1"/>
        <v>0.92473118279569888</v>
      </c>
      <c r="J7" s="102">
        <f t="shared" si="2"/>
        <v>0.17924547550549874</v>
      </c>
    </row>
    <row r="8" spans="1:15" x14ac:dyDescent="0.25">
      <c r="A8" s="195">
        <f t="shared" si="3"/>
        <v>10</v>
      </c>
      <c r="B8" s="280">
        <v>123</v>
      </c>
      <c r="C8" s="281">
        <v>23</v>
      </c>
      <c r="E8" s="238">
        <f t="shared" si="4"/>
        <v>8</v>
      </c>
      <c r="F8" s="162">
        <f t="shared" si="5"/>
        <v>290</v>
      </c>
      <c r="G8" s="102">
        <f t="shared" si="6"/>
        <v>35</v>
      </c>
      <c r="H8" s="8">
        <f t="shared" si="0"/>
        <v>0.44971537001897532</v>
      </c>
      <c r="I8" s="8">
        <f t="shared" si="1"/>
        <v>0.87455197132616491</v>
      </c>
      <c r="J8" s="102">
        <f t="shared" si="2"/>
        <v>0.19449715370018977</v>
      </c>
      <c r="L8" t="s">
        <v>742</v>
      </c>
      <c r="M8" s="448">
        <f>M4/M6</f>
        <v>0.78368121442125238</v>
      </c>
      <c r="N8" s="449">
        <f>N5/N6</f>
        <v>0.79211469534050183</v>
      </c>
      <c r="O8">
        <f>(M4+N5)/O6</f>
        <v>0.78660049627791562</v>
      </c>
    </row>
    <row r="9" spans="1:15" x14ac:dyDescent="0.25">
      <c r="A9" s="195">
        <f t="shared" si="3"/>
        <v>12</v>
      </c>
      <c r="B9" s="280">
        <v>95</v>
      </c>
      <c r="C9" s="281">
        <v>60</v>
      </c>
      <c r="E9" s="238">
        <f t="shared" si="4"/>
        <v>10</v>
      </c>
      <c r="F9" s="162">
        <f t="shared" si="5"/>
        <v>413</v>
      </c>
      <c r="G9" s="102">
        <f t="shared" si="6"/>
        <v>58</v>
      </c>
      <c r="H9" s="8">
        <f t="shared" si="0"/>
        <v>0.21631878557874762</v>
      </c>
      <c r="I9" s="8">
        <f t="shared" si="1"/>
        <v>0.79211469534050183</v>
      </c>
      <c r="J9" s="102">
        <f t="shared" si="2"/>
        <v>0.12340767038691997</v>
      </c>
    </row>
    <row r="10" spans="1:15" x14ac:dyDescent="0.25">
      <c r="A10" s="195">
        <f t="shared" si="3"/>
        <v>14</v>
      </c>
      <c r="B10" s="280">
        <v>9</v>
      </c>
      <c r="C10" s="281">
        <v>75</v>
      </c>
      <c r="E10" s="238">
        <f t="shared" si="4"/>
        <v>12</v>
      </c>
      <c r="F10" s="162">
        <f t="shared" si="5"/>
        <v>508</v>
      </c>
      <c r="G10" s="102">
        <f t="shared" si="6"/>
        <v>118</v>
      </c>
      <c r="H10" s="8">
        <f t="shared" si="0"/>
        <v>3.6053130929791233E-2</v>
      </c>
      <c r="I10" s="8">
        <f t="shared" si="1"/>
        <v>0.57706093189964158</v>
      </c>
      <c r="J10" s="102">
        <f t="shared" si="2"/>
        <v>7.5595274530207554E-3</v>
      </c>
      <c r="L10" t="s">
        <v>720</v>
      </c>
      <c r="M10" s="447">
        <v>10</v>
      </c>
    </row>
    <row r="11" spans="1:15" x14ac:dyDescent="0.25">
      <c r="A11" s="195">
        <f t="shared" si="3"/>
        <v>16</v>
      </c>
      <c r="B11" s="280">
        <v>6</v>
      </c>
      <c r="C11" s="281">
        <v>41</v>
      </c>
      <c r="E11" s="238">
        <f t="shared" si="4"/>
        <v>14</v>
      </c>
      <c r="F11" s="162">
        <f t="shared" si="5"/>
        <v>517</v>
      </c>
      <c r="G11" s="102">
        <f t="shared" si="6"/>
        <v>193</v>
      </c>
      <c r="H11" s="8">
        <f t="shared" si="0"/>
        <v>1.8975332068311146E-2</v>
      </c>
      <c r="I11" s="8">
        <f t="shared" si="1"/>
        <v>0.30824372759856633</v>
      </c>
      <c r="J11" s="102">
        <f t="shared" si="2"/>
        <v>2.6728693558588819E-3</v>
      </c>
    </row>
    <row r="12" spans="1:15" x14ac:dyDescent="0.25">
      <c r="A12" s="195">
        <f t="shared" si="3"/>
        <v>18</v>
      </c>
      <c r="B12" s="280">
        <v>4</v>
      </c>
      <c r="C12" s="281">
        <v>30</v>
      </c>
      <c r="E12" s="238">
        <f t="shared" si="4"/>
        <v>16</v>
      </c>
      <c r="F12" s="162">
        <f t="shared" si="5"/>
        <v>523</v>
      </c>
      <c r="G12" s="102">
        <f t="shared" si="6"/>
        <v>234</v>
      </c>
      <c r="H12" s="8">
        <f t="shared" si="0"/>
        <v>7.5901328273244584E-3</v>
      </c>
      <c r="I12" s="8">
        <f t="shared" si="1"/>
        <v>0.16129032258064513</v>
      </c>
      <c r="J12" s="102">
        <f t="shared" si="2"/>
        <v>8.1614331476607049E-4</v>
      </c>
    </row>
    <row r="13" spans="1:15" x14ac:dyDescent="0.25">
      <c r="A13" s="194">
        <f t="shared" si="3"/>
        <v>20</v>
      </c>
      <c r="B13" s="412">
        <v>0</v>
      </c>
      <c r="C13" s="413">
        <v>15</v>
      </c>
      <c r="E13" s="238">
        <f t="shared" si="4"/>
        <v>18</v>
      </c>
      <c r="F13" s="162">
        <f t="shared" si="5"/>
        <v>527</v>
      </c>
      <c r="G13" s="102">
        <f t="shared" si="6"/>
        <v>264</v>
      </c>
      <c r="H13" s="8">
        <f t="shared" si="0"/>
        <v>0</v>
      </c>
      <c r="I13" s="8">
        <f t="shared" si="1"/>
        <v>5.3763440860215006E-2</v>
      </c>
      <c r="J13" s="102">
        <f t="shared" si="2"/>
        <v>0</v>
      </c>
    </row>
    <row r="14" spans="1:15" x14ac:dyDescent="0.25">
      <c r="B14">
        <f>SUM(B4:B13)</f>
        <v>527</v>
      </c>
      <c r="C14">
        <f>SUM(C4:C13)</f>
        <v>279</v>
      </c>
      <c r="E14" s="272">
        <f t="shared" si="4"/>
        <v>20</v>
      </c>
      <c r="F14" s="273">
        <f t="shared" si="5"/>
        <v>527</v>
      </c>
      <c r="G14" s="275">
        <f t="shared" si="6"/>
        <v>279</v>
      </c>
      <c r="H14" s="274">
        <f t="shared" si="0"/>
        <v>0</v>
      </c>
      <c r="I14" s="274">
        <f t="shared" si="1"/>
        <v>0</v>
      </c>
      <c r="J14" s="275">
        <f t="shared" si="2"/>
        <v>0</v>
      </c>
    </row>
    <row r="15" spans="1:15" x14ac:dyDescent="0.25">
      <c r="J15">
        <f>SUM(J4:J14)</f>
        <v>0.84683370399842217</v>
      </c>
    </row>
  </sheetData>
  <pageMargins left="0.7" right="0.7" top="0.75" bottom="0.75" header="0.3" footer="0.3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D16"/>
  <sheetViews>
    <sheetView workbookViewId="0"/>
  </sheetViews>
  <sheetFormatPr defaultRowHeight="15" x14ac:dyDescent="0.25"/>
  <cols>
    <col min="3" max="3" width="3.28515625" customWidth="1"/>
    <col min="4" max="4" width="38.28515625" customWidth="1"/>
  </cols>
  <sheetData>
    <row r="1" spans="1:4" x14ac:dyDescent="0.25">
      <c r="A1" s="1" t="s">
        <v>1697</v>
      </c>
    </row>
    <row r="3" spans="1:4" x14ac:dyDescent="0.25">
      <c r="A3" t="s">
        <v>247</v>
      </c>
      <c r="B3" s="45">
        <f>'ROC 1'!M6</f>
        <v>527</v>
      </c>
    </row>
    <row r="4" spans="1:4" x14ac:dyDescent="0.25">
      <c r="A4" t="s">
        <v>248</v>
      </c>
      <c r="B4" s="163">
        <f>'ROC 1'!N6</f>
        <v>279</v>
      </c>
    </row>
    <row r="5" spans="1:4" x14ac:dyDescent="0.25">
      <c r="A5" t="s">
        <v>724</v>
      </c>
      <c r="B5" s="163">
        <f>ROC!H18</f>
        <v>0.88951459876354277</v>
      </c>
    </row>
    <row r="6" spans="1:4" x14ac:dyDescent="0.25">
      <c r="A6" t="s">
        <v>1698</v>
      </c>
      <c r="B6" s="163">
        <f>B5*(1-B5)</f>
        <v>9.8278377350076287E-2</v>
      </c>
      <c r="D6" t="e">
        <f ca="1">FTEXT(B6)</f>
        <v>#NAME?</v>
      </c>
    </row>
    <row r="7" spans="1:4" x14ac:dyDescent="0.25">
      <c r="A7" t="s">
        <v>1335</v>
      </c>
      <c r="B7" s="163">
        <f>B5/(2-B5)-B5^2</f>
        <v>9.7779997308394817E-3</v>
      </c>
      <c r="D7" t="e">
        <f ca="1">FTEXT(B7)</f>
        <v>#NAME?</v>
      </c>
    </row>
    <row r="8" spans="1:4" x14ac:dyDescent="0.25">
      <c r="A8" t="s">
        <v>1699</v>
      </c>
      <c r="B8" s="163">
        <f>2*B5^2/(1+B5)-B5^2</f>
        <v>4.626587773012758E-2</v>
      </c>
      <c r="D8" t="e">
        <f ca="1">FTEXT(B8)</f>
        <v>#NAME?</v>
      </c>
    </row>
    <row r="9" spans="1:4" x14ac:dyDescent="0.25">
      <c r="A9" t="s">
        <v>1700</v>
      </c>
      <c r="B9" s="163">
        <f>SQRT((B6+(B3-1)*B7+(B4-1)*B8)/(B3*B4))</f>
        <v>1.1096165030898116E-2</v>
      </c>
      <c r="D9" t="e">
        <f ca="1">FTEXT(B9)</f>
        <v>#NAME?</v>
      </c>
    </row>
    <row r="10" spans="1:4" x14ac:dyDescent="0.25">
      <c r="A10" t="s">
        <v>262</v>
      </c>
      <c r="B10" s="163">
        <v>0.05</v>
      </c>
      <c r="D10" t="e">
        <f ca="1">FTEXT(B10)</f>
        <v>#NAME?</v>
      </c>
    </row>
    <row r="11" spans="1:4" x14ac:dyDescent="0.25">
      <c r="A11" t="s">
        <v>357</v>
      </c>
      <c r="B11" s="163">
        <f>NORMSINV(1-B10/2)</f>
        <v>1.9599639845400536</v>
      </c>
      <c r="D11" s="22" t="s">
        <v>1701</v>
      </c>
    </row>
    <row r="12" spans="1:4" x14ac:dyDescent="0.25">
      <c r="A12" t="s">
        <v>102</v>
      </c>
      <c r="B12" s="163">
        <f>B5-B11*B9</f>
        <v>0.86776651493646972</v>
      </c>
      <c r="D12" t="e">
        <f ca="1">FTEXT(B12)</f>
        <v>#NAME?</v>
      </c>
    </row>
    <row r="13" spans="1:4" x14ac:dyDescent="0.25">
      <c r="A13" t="s">
        <v>103</v>
      </c>
      <c r="B13" s="155">
        <f>B5+B11*B9</f>
        <v>0.91126268259061582</v>
      </c>
      <c r="D13" t="e">
        <f ca="1">FTEXT(B13)</f>
        <v>#NAME?</v>
      </c>
    </row>
    <row r="15" spans="1:4" x14ac:dyDescent="0.25">
      <c r="A15" t="s">
        <v>102</v>
      </c>
      <c r="B15" s="45" t="e">
        <f ca="1">AUC_LOWER(B5,B3,B4)</f>
        <v>#NAME?</v>
      </c>
      <c r="D15" t="e">
        <f ca="1">FTEXT(B15)</f>
        <v>#NAME?</v>
      </c>
    </row>
    <row r="16" spans="1:4" x14ac:dyDescent="0.25">
      <c r="A16" t="s">
        <v>103</v>
      </c>
      <c r="B16" s="155" t="e">
        <f ca="1">AUC_UPPER(B5,B3,B4)</f>
        <v>#NAME?</v>
      </c>
      <c r="D16" t="e">
        <f ca="1">FTEXT(B16)</f>
        <v>#NAME?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8"/>
  <dimension ref="A1:H26"/>
  <sheetViews>
    <sheetView workbookViewId="0"/>
  </sheetViews>
  <sheetFormatPr defaultRowHeight="15" x14ac:dyDescent="0.25"/>
  <sheetData>
    <row r="1" spans="1:8" x14ac:dyDescent="0.25">
      <c r="A1" s="1" t="s">
        <v>962</v>
      </c>
    </row>
    <row r="2" spans="1:8" x14ac:dyDescent="0.25">
      <c r="A2" s="1"/>
    </row>
    <row r="3" spans="1:8" s="19" customFormat="1" x14ac:dyDescent="0.25">
      <c r="A3" s="19" t="s">
        <v>193</v>
      </c>
      <c r="C3" s="19" t="s">
        <v>963</v>
      </c>
      <c r="E3" s="19" t="s">
        <v>964</v>
      </c>
    </row>
    <row r="4" spans="1:8" x14ac:dyDescent="0.25">
      <c r="A4" s="315">
        <v>3</v>
      </c>
      <c r="C4" s="315" t="e">
        <f t="array" aca="1" ref="C4:C23" ca="1">TRIMDATA(A4:A23,0.3)</f>
        <v>#NAME?</v>
      </c>
      <c r="E4" s="315" t="e">
        <f t="array" aca="1" ref="E4:E23" ca="1">WINSORIZE(A4:A23,0.3)</f>
        <v>#NAME?</v>
      </c>
      <c r="H4" s="19"/>
    </row>
    <row r="5" spans="1:8" x14ac:dyDescent="0.25">
      <c r="A5" s="163">
        <v>4</v>
      </c>
      <c r="C5" s="163" t="e">
        <f ca="1"/>
        <v>#NAME?</v>
      </c>
      <c r="E5" s="163" t="e">
        <f ca="1"/>
        <v>#NAME?</v>
      </c>
      <c r="H5" s="19"/>
    </row>
    <row r="6" spans="1:8" x14ac:dyDescent="0.25">
      <c r="A6" s="163">
        <v>6</v>
      </c>
      <c r="C6" s="163" t="e">
        <f ca="1"/>
        <v>#NAME?</v>
      </c>
      <c r="E6" s="163" t="e">
        <f ca="1"/>
        <v>#NAME?</v>
      </c>
      <c r="H6" s="19"/>
    </row>
    <row r="7" spans="1:8" x14ac:dyDescent="0.25">
      <c r="A7" s="163">
        <v>9</v>
      </c>
      <c r="C7" s="163" t="e">
        <f ca="1"/>
        <v>#NAME?</v>
      </c>
      <c r="E7" s="163" t="e">
        <f ca="1"/>
        <v>#NAME?</v>
      </c>
    </row>
    <row r="8" spans="1:8" x14ac:dyDescent="0.25">
      <c r="A8" s="163">
        <v>9</v>
      </c>
      <c r="C8" s="163" t="e">
        <f ca="1"/>
        <v>#NAME?</v>
      </c>
      <c r="E8" s="163" t="e">
        <f ca="1"/>
        <v>#NAME?</v>
      </c>
    </row>
    <row r="9" spans="1:8" x14ac:dyDescent="0.25">
      <c r="A9" s="163">
        <v>3</v>
      </c>
      <c r="C9" s="163" t="e">
        <f ca="1"/>
        <v>#NAME?</v>
      </c>
      <c r="E9" s="163" t="e">
        <f ca="1"/>
        <v>#NAME?</v>
      </c>
    </row>
    <row r="10" spans="1:8" x14ac:dyDescent="0.25">
      <c r="A10" s="163">
        <v>4</v>
      </c>
      <c r="C10" s="163" t="e">
        <f ca="1"/>
        <v>#NAME?</v>
      </c>
      <c r="E10" s="163" t="e">
        <f ca="1"/>
        <v>#NAME?</v>
      </c>
    </row>
    <row r="11" spans="1:8" x14ac:dyDescent="0.25">
      <c r="A11" s="163">
        <v>5</v>
      </c>
      <c r="C11" s="163" t="e">
        <f ca="1"/>
        <v>#NAME?</v>
      </c>
      <c r="E11" s="163" t="e">
        <f ca="1"/>
        <v>#NAME?</v>
      </c>
    </row>
    <row r="12" spans="1:8" x14ac:dyDescent="0.25">
      <c r="A12" s="163">
        <v>7</v>
      </c>
      <c r="C12" s="163" t="e">
        <f ca="1"/>
        <v>#NAME?</v>
      </c>
      <c r="E12" s="163" t="e">
        <f ca="1"/>
        <v>#NAME?</v>
      </c>
    </row>
    <row r="13" spans="1:8" x14ac:dyDescent="0.25">
      <c r="A13" s="163">
        <v>5</v>
      </c>
      <c r="C13" s="163" t="e">
        <f ca="1"/>
        <v>#NAME?</v>
      </c>
      <c r="E13" s="163" t="e">
        <f ca="1"/>
        <v>#NAME?</v>
      </c>
    </row>
    <row r="14" spans="1:8" x14ac:dyDescent="0.25">
      <c r="A14" s="163">
        <v>40</v>
      </c>
      <c r="C14" s="163" t="e">
        <f ca="1"/>
        <v>#NAME?</v>
      </c>
      <c r="E14" s="163" t="e">
        <f ca="1"/>
        <v>#NAME?</v>
      </c>
    </row>
    <row r="15" spans="1:8" x14ac:dyDescent="0.25">
      <c r="A15" s="163">
        <v>1</v>
      </c>
      <c r="C15" s="163" t="e">
        <f ca="1"/>
        <v>#NAME?</v>
      </c>
      <c r="E15" s="163" t="e">
        <f ca="1"/>
        <v>#NAME?</v>
      </c>
    </row>
    <row r="16" spans="1:8" x14ac:dyDescent="0.25">
      <c r="A16" s="163">
        <v>0</v>
      </c>
      <c r="C16" s="163" t="e">
        <f ca="1"/>
        <v>#NAME?</v>
      </c>
      <c r="E16" s="163" t="e">
        <f ca="1"/>
        <v>#NAME?</v>
      </c>
    </row>
    <row r="17" spans="1:5" x14ac:dyDescent="0.25">
      <c r="A17" s="163">
        <v>8</v>
      </c>
      <c r="C17" s="163" t="e">
        <f ca="1"/>
        <v>#NAME?</v>
      </c>
      <c r="E17" s="163" t="e">
        <f ca="1"/>
        <v>#NAME?</v>
      </c>
    </row>
    <row r="18" spans="1:5" x14ac:dyDescent="0.25">
      <c r="A18" s="163">
        <v>30</v>
      </c>
      <c r="C18" s="163" t="e">
        <f ca="1"/>
        <v>#NAME?</v>
      </c>
      <c r="E18" s="163" t="e">
        <f ca="1"/>
        <v>#NAME?</v>
      </c>
    </row>
    <row r="19" spans="1:5" x14ac:dyDescent="0.25">
      <c r="A19" s="163">
        <v>1</v>
      </c>
      <c r="C19" s="163" t="e">
        <f ca="1"/>
        <v>#NAME?</v>
      </c>
      <c r="E19" s="163" t="e">
        <f ca="1"/>
        <v>#NAME?</v>
      </c>
    </row>
    <row r="20" spans="1:5" x14ac:dyDescent="0.25">
      <c r="A20" s="163">
        <v>7</v>
      </c>
      <c r="C20" s="163" t="e">
        <f ca="1"/>
        <v>#NAME?</v>
      </c>
      <c r="E20" s="163" t="e">
        <f ca="1"/>
        <v>#NAME?</v>
      </c>
    </row>
    <row r="21" spans="1:5" x14ac:dyDescent="0.25">
      <c r="A21" s="163">
        <v>5</v>
      </c>
      <c r="C21" s="163" t="e">
        <f ca="1"/>
        <v>#NAME?</v>
      </c>
      <c r="E21" s="163" t="e">
        <f ca="1"/>
        <v>#NAME?</v>
      </c>
    </row>
    <row r="22" spans="1:5" x14ac:dyDescent="0.25">
      <c r="A22" s="163">
        <v>4</v>
      </c>
      <c r="C22" s="163" t="e">
        <f ca="1"/>
        <v>#NAME?</v>
      </c>
      <c r="E22" s="163" t="e">
        <f ca="1"/>
        <v>#NAME?</v>
      </c>
    </row>
    <row r="23" spans="1:5" x14ac:dyDescent="0.25">
      <c r="A23" s="155">
        <v>2</v>
      </c>
      <c r="C23" s="155" t="e">
        <f ca="1"/>
        <v>#NAME?</v>
      </c>
      <c r="E23" s="155" t="e">
        <f ca="1"/>
        <v>#NAME?</v>
      </c>
    </row>
    <row r="24" spans="1:5" x14ac:dyDescent="0.25">
      <c r="A24">
        <f>AVERAGE(A4:A23)</f>
        <v>7.65</v>
      </c>
      <c r="C24" t="e">
        <f ca="1">AVERAGE(C4:C23)</f>
        <v>#NAME?</v>
      </c>
      <c r="E24" t="e">
        <f ca="1">AVERAGE(E4:E23)</f>
        <v>#NAME?</v>
      </c>
    </row>
    <row r="26" spans="1:5" x14ac:dyDescent="0.25">
      <c r="C26" s="205">
        <f>TRIMMEAN(A4:A23,0.3)</f>
        <v>5.1428571428571432</v>
      </c>
      <c r="E26" s="205" t="e">
        <f ca="1">WINMEAN(A4:A23,0.3)</f>
        <v>#NAME?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6"/>
  <dimension ref="A1:W24"/>
  <sheetViews>
    <sheetView workbookViewId="0"/>
  </sheetViews>
  <sheetFormatPr defaultRowHeight="15" x14ac:dyDescent="0.25"/>
  <cols>
    <col min="1" max="1" width="11.5703125" customWidth="1"/>
    <col min="2" max="15" width="9.42578125" customWidth="1"/>
    <col min="17" max="17" width="11.5703125" customWidth="1"/>
  </cols>
  <sheetData>
    <row r="1" spans="1:23" x14ac:dyDescent="0.25">
      <c r="A1" s="1" t="s">
        <v>1254</v>
      </c>
    </row>
    <row r="3" spans="1:23" x14ac:dyDescent="0.25">
      <c r="A3" s="241"/>
      <c r="B3" s="242" t="s">
        <v>330</v>
      </c>
      <c r="C3" s="242" t="s">
        <v>332</v>
      </c>
      <c r="D3" s="242" t="s">
        <v>333</v>
      </c>
      <c r="E3" s="242" t="s">
        <v>334</v>
      </c>
      <c r="F3" s="242" t="s">
        <v>336</v>
      </c>
      <c r="G3" s="242" t="s">
        <v>23</v>
      </c>
      <c r="I3" t="e">
        <f t="array" aca="1" ref="I3:O22" ca="1">DELROWBLANK(A3:G22,TRUE)</f>
        <v>#NAME?</v>
      </c>
      <c r="J3" t="e">
        <f ca="1"/>
        <v>#NAME?</v>
      </c>
      <c r="K3" t="e">
        <f ca="1"/>
        <v>#NAME?</v>
      </c>
      <c r="L3" t="e">
        <f ca="1"/>
        <v>#NAME?</v>
      </c>
      <c r="M3" t="e">
        <f ca="1"/>
        <v>#NAME?</v>
      </c>
      <c r="N3" t="e">
        <f ca="1"/>
        <v>#NAME?</v>
      </c>
      <c r="O3" t="e">
        <f ca="1"/>
        <v>#NAME?</v>
      </c>
      <c r="Q3" t="e">
        <f t="array" aca="1" ref="Q3:W18" ca="1">DELROWBLANK(A3:G22,TRUE)</f>
        <v>#NAME?</v>
      </c>
      <c r="R3" t="e">
        <f ca="1"/>
        <v>#NAME?</v>
      </c>
      <c r="S3" t="e">
        <f ca="1"/>
        <v>#NAME?</v>
      </c>
      <c r="T3" t="e">
        <f ca="1"/>
        <v>#NAME?</v>
      </c>
      <c r="U3" t="e">
        <f ca="1"/>
        <v>#NAME?</v>
      </c>
      <c r="V3" t="e">
        <f ca="1"/>
        <v>#NAME?</v>
      </c>
      <c r="W3" t="e">
        <f ca="1"/>
        <v>#NAME?</v>
      </c>
    </row>
    <row r="4" spans="1:23" x14ac:dyDescent="0.25">
      <c r="A4" s="237" t="s">
        <v>337</v>
      </c>
      <c r="B4" s="243">
        <v>15.7</v>
      </c>
      <c r="C4" s="245">
        <v>71.027177760140717</v>
      </c>
      <c r="D4" s="246">
        <v>448</v>
      </c>
      <c r="E4" s="247">
        <v>218.17340830567619</v>
      </c>
      <c r="F4" s="249">
        <v>22</v>
      </c>
      <c r="G4" s="251">
        <v>42666</v>
      </c>
      <c r="I4" t="e">
        <f ca="1"/>
        <v>#NAME?</v>
      </c>
      <c r="J4" t="e">
        <f ca="1"/>
        <v>#NAME?</v>
      </c>
      <c r="K4" t="e">
        <f ca="1"/>
        <v>#NAME?</v>
      </c>
      <c r="L4" t="e">
        <f ca="1"/>
        <v>#NAME?</v>
      </c>
      <c r="M4" t="e">
        <f ca="1"/>
        <v>#NAME?</v>
      </c>
      <c r="N4" t="e">
        <f ca="1"/>
        <v>#NAME?</v>
      </c>
      <c r="O4" t="e">
        <f ca="1"/>
        <v>#NAME?</v>
      </c>
      <c r="Q4" t="e">
        <f ca="1"/>
        <v>#NAME?</v>
      </c>
      <c r="R4" s="268" t="e">
        <f ca="1"/>
        <v>#NAME?</v>
      </c>
      <c r="S4" s="292" t="e">
        <f ca="1"/>
        <v>#NAME?</v>
      </c>
      <c r="T4" s="292" t="e">
        <f ca="1"/>
        <v>#NAME?</v>
      </c>
      <c r="U4" s="292" t="e">
        <f ca="1"/>
        <v>#NAME?</v>
      </c>
      <c r="V4" s="292" t="e">
        <f ca="1"/>
        <v>#NAME?</v>
      </c>
      <c r="W4" s="270" t="e">
        <f ca="1"/>
        <v>#NAME?</v>
      </c>
    </row>
    <row r="5" spans="1:23" x14ac:dyDescent="0.25">
      <c r="A5" s="237" t="s">
        <v>338</v>
      </c>
      <c r="B5" s="243">
        <v>8.4</v>
      </c>
      <c r="C5" s="245">
        <v>70.62318863808899</v>
      </c>
      <c r="D5" s="246">
        <v>661.2</v>
      </c>
      <c r="E5" s="247">
        <v>228.45028196578826</v>
      </c>
      <c r="F5" s="249">
        <v>27.3</v>
      </c>
      <c r="G5" s="251">
        <v>68460</v>
      </c>
      <c r="I5" t="e">
        <f ca="1"/>
        <v>#NAME?</v>
      </c>
      <c r="J5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t="e">
        <f ca="1"/>
        <v>#NAME?</v>
      </c>
      <c r="Q5" t="e">
        <f ca="1"/>
        <v>#NAME?</v>
      </c>
      <c r="R5" s="166" t="e">
        <f ca="1"/>
        <v>#NAME?</v>
      </c>
      <c r="S5" s="8" t="e">
        <f ca="1"/>
        <v>#NAME?</v>
      </c>
      <c r="T5" s="8" t="e">
        <f ca="1"/>
        <v>#NAME?</v>
      </c>
      <c r="U5" s="8" t="e">
        <f ca="1"/>
        <v>#NAME?</v>
      </c>
      <c r="V5" s="8" t="e">
        <f ca="1"/>
        <v>#NAME?</v>
      </c>
      <c r="W5" s="167" t="e">
        <f ca="1"/>
        <v>#NAME?</v>
      </c>
    </row>
    <row r="6" spans="1:23" x14ac:dyDescent="0.25">
      <c r="A6" s="237" t="s">
        <v>339</v>
      </c>
      <c r="B6" s="243">
        <v>14.7</v>
      </c>
      <c r="C6" s="245">
        <v>86.505696765320337</v>
      </c>
      <c r="D6" s="246">
        <v>482.7</v>
      </c>
      <c r="E6" s="247">
        <v>209.66657175716827</v>
      </c>
      <c r="F6" s="249">
        <v>25.1</v>
      </c>
      <c r="G6" s="251">
        <v>50958</v>
      </c>
      <c r="I6" t="e">
        <f ca="1"/>
        <v>#NAME?</v>
      </c>
      <c r="J6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t="e">
        <f ca="1"/>
        <v>#NAME?</v>
      </c>
      <c r="Q6" t="e">
        <f ca="1"/>
        <v>#NAME?</v>
      </c>
      <c r="R6" s="166" t="e">
        <f ca="1"/>
        <v>#NAME?</v>
      </c>
      <c r="S6" s="8" t="e">
        <f ca="1"/>
        <v>#NAME?</v>
      </c>
      <c r="T6" s="8" t="e">
        <f ca="1"/>
        <v>#NAME?</v>
      </c>
      <c r="U6" s="8" t="e">
        <f ca="1"/>
        <v>#NAME?</v>
      </c>
      <c r="V6" s="8" t="e">
        <f ca="1"/>
        <v>#NAME?</v>
      </c>
      <c r="W6" s="167" t="e">
        <f ca="1"/>
        <v>#NAME?</v>
      </c>
    </row>
    <row r="7" spans="1:23" x14ac:dyDescent="0.25">
      <c r="A7" s="237" t="s">
        <v>340</v>
      </c>
      <c r="B7" s="243">
        <v>17.3</v>
      </c>
      <c r="C7" s="245">
        <v>80.783955956979611</v>
      </c>
      <c r="D7" s="246"/>
      <c r="E7" s="247">
        <v>203.42285988234826</v>
      </c>
      <c r="F7" s="249">
        <v>18.8</v>
      </c>
      <c r="G7" s="251">
        <v>38815</v>
      </c>
      <c r="I7" t="e">
        <f ca="1"/>
        <v>#NAME?</v>
      </c>
      <c r="J7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t="e">
        <f ca="1"/>
        <v>#NAME?</v>
      </c>
      <c r="Q7" t="e">
        <f ca="1"/>
        <v>#NAME?</v>
      </c>
      <c r="R7" s="166" t="e">
        <f ca="1"/>
        <v>#NAME?</v>
      </c>
      <c r="S7" s="8" t="e">
        <f ca="1"/>
        <v>#NAME?</v>
      </c>
      <c r="T7" s="8" t="e">
        <f ca="1"/>
        <v>#NAME?</v>
      </c>
      <c r="U7" s="8" t="e">
        <f ca="1"/>
        <v>#NAME?</v>
      </c>
      <c r="V7" s="8" t="e">
        <f ca="1"/>
        <v>#NAME?</v>
      </c>
      <c r="W7" s="167" t="e">
        <f ca="1"/>
        <v>#NAME?</v>
      </c>
    </row>
    <row r="8" spans="1:23" x14ac:dyDescent="0.25">
      <c r="A8" s="237" t="s">
        <v>341</v>
      </c>
      <c r="B8" s="243">
        <v>13.3</v>
      </c>
      <c r="C8" s="245">
        <v>76.640052174481781</v>
      </c>
      <c r="D8" s="246">
        <v>522.6</v>
      </c>
      <c r="E8" s="247">
        <v>268.69056049813605</v>
      </c>
      <c r="F8" s="249">
        <v>29.6</v>
      </c>
      <c r="G8" s="251">
        <v>61021</v>
      </c>
      <c r="I8" t="e">
        <f ca="1"/>
        <v>#NAME?</v>
      </c>
      <c r="J8" t="e">
        <f ca="1"/>
        <v>#NAME?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t="e">
        <f ca="1"/>
        <v>#NAME?</v>
      </c>
      <c r="Q8" t="e">
        <f ca="1"/>
        <v>#NAME?</v>
      </c>
      <c r="R8" s="166" t="e">
        <f ca="1"/>
        <v>#NAME?</v>
      </c>
      <c r="S8" s="8" t="e">
        <f ca="1"/>
        <v>#NAME?</v>
      </c>
      <c r="T8" s="8" t="e">
        <f ca="1"/>
        <v>#NAME?</v>
      </c>
      <c r="U8" s="8" t="e">
        <f ca="1"/>
        <v>#NAME?</v>
      </c>
      <c r="V8" s="8" t="e">
        <f ca="1"/>
        <v>#NAME?</v>
      </c>
      <c r="W8" s="167" t="e">
        <f ca="1"/>
        <v>#NAME?</v>
      </c>
    </row>
    <row r="9" spans="1:23" x14ac:dyDescent="0.25">
      <c r="A9" s="237" t="s">
        <v>342</v>
      </c>
      <c r="B9" s="243"/>
      <c r="C9" s="245">
        <v>89.734092175332663</v>
      </c>
      <c r="D9" s="246">
        <v>347.8</v>
      </c>
      <c r="E9" s="247">
        <v>259.68608874672964</v>
      </c>
      <c r="F9" s="249">
        <v>35.6</v>
      </c>
      <c r="G9" s="251">
        <v>56993</v>
      </c>
      <c r="I9" t="e">
        <f ca="1"/>
        <v>#NAME?</v>
      </c>
      <c r="J9" t="e">
        <f ca="1"/>
        <v>#NAME?</v>
      </c>
      <c r="K9" t="e">
        <f ca="1"/>
        <v>#NAME?</v>
      </c>
      <c r="L9" t="e">
        <f ca="1"/>
        <v>#NAME?</v>
      </c>
      <c r="M9" t="e">
        <f ca="1"/>
        <v>#NAME?</v>
      </c>
      <c r="N9" t="e">
        <f ca="1"/>
        <v>#NAME?</v>
      </c>
      <c r="O9" t="e">
        <f ca="1"/>
        <v>#NAME?</v>
      </c>
      <c r="Q9" t="e">
        <f ca="1"/>
        <v>#NAME?</v>
      </c>
      <c r="R9" s="166" t="e">
        <f ca="1"/>
        <v>#NAME?</v>
      </c>
      <c r="S9" s="8" t="e">
        <f ca="1"/>
        <v>#NAME?</v>
      </c>
      <c r="T9" s="8" t="e">
        <f ca="1"/>
        <v>#NAME?</v>
      </c>
      <c r="U9" s="8" t="e">
        <f ca="1"/>
        <v>#NAME?</v>
      </c>
      <c r="V9" s="8" t="e">
        <f ca="1"/>
        <v>#NAME?</v>
      </c>
      <c r="W9" s="167" t="e">
        <f ca="1"/>
        <v>#NAME?</v>
      </c>
    </row>
    <row r="10" spans="1:23" x14ac:dyDescent="0.25">
      <c r="A10" s="237" t="s">
        <v>343</v>
      </c>
      <c r="B10" s="243">
        <v>9.3000000000000007</v>
      </c>
      <c r="C10" s="245">
        <v>84.278652322083644</v>
      </c>
      <c r="D10" s="246">
        <v>256</v>
      </c>
      <c r="E10" s="247">
        <v>376.3752669155395</v>
      </c>
      <c r="F10" s="249">
        <v>35.6</v>
      </c>
      <c r="G10" s="251">
        <v>68595</v>
      </c>
      <c r="I10" t="e">
        <f ca="1"/>
        <v>#NAME?</v>
      </c>
      <c r="J10" t="e">
        <f ca="1"/>
        <v>#NAME?</v>
      </c>
      <c r="K10" t="e">
        <f ca="1"/>
        <v>#NAME?</v>
      </c>
      <c r="L10" t="e">
        <f ca="1"/>
        <v>#NAME?</v>
      </c>
      <c r="M10" t="e">
        <f ca="1"/>
        <v>#NAME?</v>
      </c>
      <c r="N10" t="e">
        <f ca="1"/>
        <v>#NAME?</v>
      </c>
      <c r="O10" t="e">
        <f ca="1"/>
        <v>#NAME?</v>
      </c>
      <c r="Q10" t="e">
        <f ca="1"/>
        <v>#NAME?</v>
      </c>
      <c r="R10" s="166" t="e">
        <f ca="1"/>
        <v>#NAME?</v>
      </c>
      <c r="S10" s="8" t="e">
        <f ca="1"/>
        <v>#NAME?</v>
      </c>
      <c r="T10" s="8" t="e">
        <f ca="1"/>
        <v>#NAME?</v>
      </c>
      <c r="U10" s="8" t="e">
        <f ca="1"/>
        <v>#NAME?</v>
      </c>
      <c r="V10" s="8" t="e">
        <f ca="1"/>
        <v>#NAME?</v>
      </c>
      <c r="W10" s="167" t="e">
        <f ca="1"/>
        <v>#NAME?</v>
      </c>
    </row>
    <row r="11" spans="1:23" x14ac:dyDescent="0.25">
      <c r="A11" s="237" t="s">
        <v>344</v>
      </c>
      <c r="B11" s="252">
        <v>10</v>
      </c>
      <c r="C11" s="245">
        <v>74.266056727126113</v>
      </c>
      <c r="D11" s="246">
        <v>689.2</v>
      </c>
      <c r="E11" s="247">
        <v>250.94175668510928</v>
      </c>
      <c r="F11" s="249">
        <v>27.5</v>
      </c>
      <c r="G11" s="251">
        <v>57989</v>
      </c>
      <c r="I11" t="e">
        <f ca="1"/>
        <v>#NAME?</v>
      </c>
      <c r="J11" t="e">
        <f ca="1"/>
        <v>#NAME?</v>
      </c>
      <c r="K11" t="e">
        <f ca="1"/>
        <v>#NAME?</v>
      </c>
      <c r="L11" t="e">
        <f ca="1"/>
        <v>#NAME?</v>
      </c>
      <c r="M11" t="e">
        <f ca="1"/>
        <v>#NAME?</v>
      </c>
      <c r="N11" t="e">
        <f ca="1"/>
        <v>#NAME?</v>
      </c>
      <c r="O11" t="e">
        <f ca="1"/>
        <v>#NAME?</v>
      </c>
      <c r="Q11" t="e">
        <f ca="1"/>
        <v>#NAME?</v>
      </c>
      <c r="R11" s="166" t="e">
        <f ca="1"/>
        <v>#NAME?</v>
      </c>
      <c r="S11" s="8" t="e">
        <f ca="1"/>
        <v>#NAME?</v>
      </c>
      <c r="T11" s="8" t="e">
        <f ca="1"/>
        <v>#NAME?</v>
      </c>
      <c r="U11" s="8" t="e">
        <f ca="1"/>
        <v>#NAME?</v>
      </c>
      <c r="V11" s="8" t="e">
        <f ca="1"/>
        <v>#NAME?</v>
      </c>
      <c r="W11" s="167" t="e">
        <f ca="1"/>
        <v>#NAME?</v>
      </c>
    </row>
    <row r="12" spans="1:23" x14ac:dyDescent="0.25">
      <c r="A12" s="237" t="s">
        <v>345</v>
      </c>
      <c r="B12" s="243">
        <v>13.2</v>
      </c>
      <c r="C12" s="245">
        <v>79.811068541941054</v>
      </c>
      <c r="D12" s="246">
        <v>722.6</v>
      </c>
      <c r="E12" s="247">
        <v>247.86359820579941</v>
      </c>
      <c r="F12" s="249">
        <v>25.8</v>
      </c>
      <c r="G12" s="251">
        <v>47778</v>
      </c>
      <c r="I12" t="e">
        <f ca="1"/>
        <v>#NAME?</v>
      </c>
      <c r="J12" t="e">
        <f ca="1"/>
        <v>#NAME?</v>
      </c>
      <c r="K12" t="e">
        <f ca="1"/>
        <v>#NAME?</v>
      </c>
      <c r="L12" t="e">
        <f ca="1"/>
        <v>#NAME?</v>
      </c>
      <c r="M12" t="e">
        <f ca="1"/>
        <v>#NAME?</v>
      </c>
      <c r="N12" t="e">
        <f ca="1"/>
        <v>#NAME?</v>
      </c>
      <c r="O12" t="e">
        <f ca="1"/>
        <v>#NAME?</v>
      </c>
      <c r="Q12" t="e">
        <f ca="1"/>
        <v>#NAME?</v>
      </c>
      <c r="R12" s="166" t="e">
        <f ca="1"/>
        <v>#NAME?</v>
      </c>
      <c r="S12" s="8" t="e">
        <f ca="1"/>
        <v>#NAME?</v>
      </c>
      <c r="T12" s="8" t="e">
        <f ca="1"/>
        <v>#NAME?</v>
      </c>
      <c r="U12" s="8" t="e">
        <f ca="1"/>
        <v>#NAME?</v>
      </c>
      <c r="V12" s="8" t="e">
        <f ca="1"/>
        <v>#NAME?</v>
      </c>
      <c r="W12" s="167" t="e">
        <f ca="1"/>
        <v>#NAME?</v>
      </c>
    </row>
    <row r="13" spans="1:23" x14ac:dyDescent="0.25">
      <c r="A13" s="237" t="s">
        <v>346</v>
      </c>
      <c r="B13" s="243">
        <v>14.7</v>
      </c>
      <c r="C13" s="245">
        <v>65.387718279566343</v>
      </c>
      <c r="D13" s="246">
        <v>493.2</v>
      </c>
      <c r="E13" s="247">
        <v>217.44570184044454</v>
      </c>
      <c r="F13" s="249">
        <v>27.5</v>
      </c>
      <c r="G13" s="251">
        <v>50861</v>
      </c>
      <c r="I13" t="e">
        <f ca="1"/>
        <v>#NAME?</v>
      </c>
      <c r="J13" t="e">
        <f ca="1"/>
        <v>#NAME?</v>
      </c>
      <c r="K13" t="e">
        <f ca="1"/>
        <v>#NAME?</v>
      </c>
      <c r="L13" t="e">
        <f ca="1"/>
        <v>#NAME?</v>
      </c>
      <c r="M13" t="e">
        <f ca="1"/>
        <v>#NAME?</v>
      </c>
      <c r="N13" t="e">
        <f ca="1"/>
        <v>#NAME?</v>
      </c>
      <c r="O13" t="e">
        <f ca="1"/>
        <v>#NAME?</v>
      </c>
      <c r="Q13" t="e">
        <f ca="1"/>
        <v>#NAME?</v>
      </c>
      <c r="R13" s="166" t="e">
        <f ca="1"/>
        <v>#NAME?</v>
      </c>
      <c r="S13" s="8" t="e">
        <f ca="1"/>
        <v>#NAME?</v>
      </c>
      <c r="T13" s="8" t="e">
        <f ca="1"/>
        <v>#NAME?</v>
      </c>
      <c r="U13" s="8" t="e">
        <f ca="1"/>
        <v>#NAME?</v>
      </c>
      <c r="V13" s="8" t="e">
        <f ca="1"/>
        <v>#NAME?</v>
      </c>
      <c r="W13" s="167" t="e">
        <f ca="1"/>
        <v>#NAME?</v>
      </c>
    </row>
    <row r="14" spans="1:23" x14ac:dyDescent="0.25">
      <c r="A14" s="237" t="s">
        <v>347</v>
      </c>
      <c r="B14" s="243">
        <v>9.1</v>
      </c>
      <c r="C14" s="245">
        <v>29.667333748383395</v>
      </c>
      <c r="D14" s="246">
        <v>272.8</v>
      </c>
      <c r="E14" s="247">
        <v>316.98289278791503</v>
      </c>
      <c r="F14" s="249">
        <v>29.1</v>
      </c>
      <c r="G14" s="251">
        <v>67214</v>
      </c>
      <c r="I14" t="e">
        <f ca="1"/>
        <v>#NAME?</v>
      </c>
      <c r="J14" t="e">
        <f ca="1"/>
        <v>#NAME?</v>
      </c>
      <c r="K14" t="e">
        <f ca="1"/>
        <v>#NAME?</v>
      </c>
      <c r="L14" t="e">
        <f ca="1"/>
        <v>#NAME?</v>
      </c>
      <c r="M14" t="e">
        <f ca="1"/>
        <v>#NAME?</v>
      </c>
      <c r="N14" t="e">
        <f ca="1"/>
        <v>#NAME?</v>
      </c>
      <c r="O14" t="e">
        <f ca="1"/>
        <v>#NAME?</v>
      </c>
      <c r="Q14" t="e">
        <f ca="1"/>
        <v>#NAME?</v>
      </c>
      <c r="R14" s="166" t="e">
        <f ca="1"/>
        <v>#NAME?</v>
      </c>
      <c r="S14" s="8" t="e">
        <f ca="1"/>
        <v>#NAME?</v>
      </c>
      <c r="T14" s="8" t="e">
        <f ca="1"/>
        <v>#NAME?</v>
      </c>
      <c r="U14" s="8" t="e">
        <f ca="1"/>
        <v>#NAME?</v>
      </c>
      <c r="V14" s="8" t="e">
        <f ca="1"/>
        <v>#NAME?</v>
      </c>
      <c r="W14" s="167" t="e">
        <f ca="1"/>
        <v>#NAME?</v>
      </c>
    </row>
    <row r="15" spans="1:23" x14ac:dyDescent="0.25">
      <c r="A15" s="237" t="s">
        <v>348</v>
      </c>
      <c r="B15" s="243"/>
      <c r="C15" s="245">
        <v>94.600660447193093</v>
      </c>
      <c r="D15" s="246">
        <v>239.4</v>
      </c>
      <c r="E15" s="247">
        <v>168.83390313104681</v>
      </c>
      <c r="F15" s="249">
        <v>24</v>
      </c>
      <c r="G15" s="251">
        <v>47576</v>
      </c>
      <c r="I15" t="e">
        <f ca="1"/>
        <v>#NAME?</v>
      </c>
      <c r="J15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O15" t="e">
        <f ca="1"/>
        <v>#NAME?</v>
      </c>
      <c r="Q15" t="e">
        <f ca="1"/>
        <v>#NAME?</v>
      </c>
      <c r="R15" s="166" t="e">
        <f ca="1"/>
        <v>#NAME?</v>
      </c>
      <c r="S15" s="8" t="e">
        <f ca="1"/>
        <v>#NAME?</v>
      </c>
      <c r="T15" s="8" t="e">
        <f ca="1"/>
        <v>#NAME?</v>
      </c>
      <c r="U15" s="8" t="e">
        <f ca="1"/>
        <v>#NAME?</v>
      </c>
      <c r="V15" s="8" t="e">
        <f ca="1"/>
        <v>#NAME?</v>
      </c>
      <c r="W15" s="167" t="e">
        <f ca="1"/>
        <v>#NAME?</v>
      </c>
    </row>
    <row r="16" spans="1:23" x14ac:dyDescent="0.25">
      <c r="A16" s="237" t="s">
        <v>349</v>
      </c>
      <c r="B16" s="243">
        <v>12.2</v>
      </c>
      <c r="C16" s="245">
        <v>79.13310968601246</v>
      </c>
      <c r="D16" s="246">
        <v>533.20000000000005</v>
      </c>
      <c r="E16" s="247">
        <v>280.15386787687231</v>
      </c>
      <c r="F16" s="249">
        <v>29.9</v>
      </c>
      <c r="G16" s="251">
        <v>56235</v>
      </c>
      <c r="I16" t="e">
        <f ca="1"/>
        <v>#NAME?</v>
      </c>
      <c r="J16" t="e">
        <f ca="1"/>
        <v>#NAME?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O16" t="e">
        <f ca="1"/>
        <v>#NAME?</v>
      </c>
      <c r="Q16" t="e">
        <f ca="1"/>
        <v>#NAME?</v>
      </c>
      <c r="R16" s="166" t="e">
        <f ca="1"/>
        <v>#NAME?</v>
      </c>
      <c r="S16" s="8" t="e">
        <f ca="1"/>
        <v>#NAME?</v>
      </c>
      <c r="T16" s="8" t="e">
        <f ca="1"/>
        <v>#NAME?</v>
      </c>
      <c r="U16" s="8" t="e">
        <f ca="1"/>
        <v>#NAME?</v>
      </c>
      <c r="V16" s="8" t="e">
        <f ca="1"/>
        <v>#NAME?</v>
      </c>
      <c r="W16" s="167" t="e">
        <f ca="1"/>
        <v>#NAME?</v>
      </c>
    </row>
    <row r="17" spans="1:23" x14ac:dyDescent="0.25">
      <c r="A17" s="237" t="s">
        <v>350</v>
      </c>
      <c r="B17" s="243">
        <v>13.1</v>
      </c>
      <c r="C17" s="245"/>
      <c r="D17" s="246"/>
      <c r="E17" s="247">
        <v>216.93969975987483</v>
      </c>
      <c r="F17" s="249"/>
      <c r="G17" s="251">
        <v>47966</v>
      </c>
      <c r="I17" t="e">
        <f ca="1"/>
        <v>#NAME?</v>
      </c>
      <c r="J17" t="e">
        <f ca="1"/>
        <v>#NAME?</v>
      </c>
      <c r="K17" t="e">
        <f ca="1"/>
        <v>#NAME?</v>
      </c>
      <c r="L17" t="e">
        <f ca="1"/>
        <v>#NAME?</v>
      </c>
      <c r="M17" t="e">
        <f ca="1"/>
        <v>#NAME?</v>
      </c>
      <c r="N17" t="e">
        <f ca="1"/>
        <v>#NAME?</v>
      </c>
      <c r="O17" t="e">
        <f ca="1"/>
        <v>#NAME?</v>
      </c>
      <c r="Q17" t="e">
        <f ca="1"/>
        <v>#NAME?</v>
      </c>
      <c r="R17" s="166" t="e">
        <f ca="1"/>
        <v>#NAME?</v>
      </c>
      <c r="S17" s="8" t="e">
        <f ca="1"/>
        <v>#NAME?</v>
      </c>
      <c r="T17" s="8" t="e">
        <f ca="1"/>
        <v>#NAME?</v>
      </c>
      <c r="U17" s="8" t="e">
        <f ca="1"/>
        <v>#NAME?</v>
      </c>
      <c r="V17" s="8" t="e">
        <f ca="1"/>
        <v>#NAME?</v>
      </c>
      <c r="W17" s="167" t="e">
        <f ca="1"/>
        <v>#NAME?</v>
      </c>
    </row>
    <row r="18" spans="1:23" x14ac:dyDescent="0.25">
      <c r="A18" s="237" t="s">
        <v>351</v>
      </c>
      <c r="B18" s="243">
        <v>11.5</v>
      </c>
      <c r="C18" s="245">
        <v>94.170464820794294</v>
      </c>
      <c r="D18" s="246">
        <v>294.7</v>
      </c>
      <c r="E18" s="247">
        <v>189.28322428402873</v>
      </c>
      <c r="F18" s="249">
        <v>24.3</v>
      </c>
      <c r="G18" s="251">
        <v>48980</v>
      </c>
      <c r="I18" t="e">
        <f ca="1"/>
        <v>#NAME?</v>
      </c>
      <c r="J18" t="e">
        <f ca="1"/>
        <v>#NAME?</v>
      </c>
      <c r="K18" t="e">
        <f ca="1"/>
        <v>#NAME?</v>
      </c>
      <c r="L18" t="e">
        <f ca="1"/>
        <v>#NAME?</v>
      </c>
      <c r="M18" t="e">
        <f ca="1"/>
        <v>#NAME?</v>
      </c>
      <c r="N18" t="e">
        <f ca="1"/>
        <v>#NAME?</v>
      </c>
      <c r="O18" t="e">
        <f ca="1"/>
        <v>#NAME?</v>
      </c>
      <c r="Q18" t="e">
        <f ca="1"/>
        <v>#NAME?</v>
      </c>
      <c r="R18" s="148" t="e">
        <f ca="1"/>
        <v>#NAME?</v>
      </c>
      <c r="S18" s="276" t="e">
        <f ca="1"/>
        <v>#NAME?</v>
      </c>
      <c r="T18" s="276" t="e">
        <f ca="1"/>
        <v>#NAME?</v>
      </c>
      <c r="U18" s="276" t="e">
        <f ca="1"/>
        <v>#NAME?</v>
      </c>
      <c r="V18" s="276" t="e">
        <f ca="1"/>
        <v>#NAME?</v>
      </c>
      <c r="W18" s="153" t="e">
        <f ca="1"/>
        <v>#NAME?</v>
      </c>
    </row>
    <row r="19" spans="1:23" x14ac:dyDescent="0.25">
      <c r="A19" s="237" t="s">
        <v>352</v>
      </c>
      <c r="B19" s="243">
        <v>11.3</v>
      </c>
      <c r="C19" s="245">
        <v>88.703716524620162</v>
      </c>
      <c r="D19" s="246">
        <v>452.7</v>
      </c>
      <c r="E19" s="247">
        <v>222.54770859752097</v>
      </c>
      <c r="F19" s="249">
        <v>29.6</v>
      </c>
      <c r="G19" s="251">
        <v>50177</v>
      </c>
      <c r="I19" t="e">
        <f ca="1"/>
        <v>#NAME?</v>
      </c>
      <c r="J19" t="e">
        <f ca="1"/>
        <v>#NAME?</v>
      </c>
      <c r="K19" t="e">
        <f ca="1"/>
        <v>#NAME?</v>
      </c>
      <c r="L19" t="e">
        <f ca="1"/>
        <v>#NAME?</v>
      </c>
      <c r="M19" t="e">
        <f ca="1"/>
        <v>#NAME?</v>
      </c>
      <c r="N19" t="e">
        <f ca="1"/>
        <v>#NAME?</v>
      </c>
      <c r="O19" t="e">
        <f ca="1"/>
        <v>#NAME?</v>
      </c>
    </row>
    <row r="20" spans="1:23" x14ac:dyDescent="0.25">
      <c r="A20" s="237" t="s">
        <v>353</v>
      </c>
      <c r="B20" s="243">
        <v>17.3</v>
      </c>
      <c r="C20" s="245">
        <v>89.904327345935869</v>
      </c>
      <c r="D20" s="246">
        <v>295</v>
      </c>
      <c r="E20" s="247">
        <v>232.34854500664258</v>
      </c>
      <c r="F20" s="249">
        <v>19.7</v>
      </c>
      <c r="G20" s="251">
        <v>41538</v>
      </c>
      <c r="I20" t="e">
        <f ca="1"/>
        <v>#NAME?</v>
      </c>
      <c r="J20" t="e">
        <f ca="1"/>
        <v>#NAME?</v>
      </c>
      <c r="K20" t="e">
        <f ca="1"/>
        <v>#NAME?</v>
      </c>
      <c r="L20" t="e">
        <f ca="1"/>
        <v>#NAME?</v>
      </c>
      <c r="M20" t="e">
        <f ca="1"/>
        <v>#NAME?</v>
      </c>
      <c r="N20" t="e">
        <f ca="1"/>
        <v>#NAME?</v>
      </c>
      <c r="O20" t="e">
        <f ca="1"/>
        <v>#NAME?</v>
      </c>
    </row>
    <row r="21" spans="1:23" x14ac:dyDescent="0.25">
      <c r="A21" s="76" t="s">
        <v>354</v>
      </c>
      <c r="B21" s="243">
        <v>17.3</v>
      </c>
      <c r="C21" s="253">
        <v>64.839543701408999</v>
      </c>
      <c r="D21" s="246">
        <v>729.5</v>
      </c>
      <c r="E21" s="247">
        <v>262.66146237060713</v>
      </c>
      <c r="F21" s="249">
        <v>20.3</v>
      </c>
      <c r="G21" s="256">
        <v>43733</v>
      </c>
      <c r="I21" t="e">
        <f ca="1"/>
        <v>#NAME?</v>
      </c>
      <c r="J21" t="e">
        <f ca="1"/>
        <v>#NAME?</v>
      </c>
      <c r="K21" t="e">
        <f ca="1"/>
        <v>#NAME?</v>
      </c>
      <c r="L21" t="e">
        <f ca="1"/>
        <v>#NAME?</v>
      </c>
      <c r="M21" t="e">
        <f ca="1"/>
        <v>#NAME?</v>
      </c>
      <c r="N21" t="e">
        <f ca="1"/>
        <v>#NAME?</v>
      </c>
      <c r="O21" t="e">
        <f ca="1"/>
        <v>#NAME?</v>
      </c>
    </row>
    <row r="22" spans="1:23" x14ac:dyDescent="0.25">
      <c r="A22" s="257" t="s">
        <v>355</v>
      </c>
      <c r="B22" s="258">
        <v>12.3</v>
      </c>
      <c r="C22" s="260">
        <v>96.389852756187835</v>
      </c>
      <c r="D22" s="261">
        <v>118</v>
      </c>
      <c r="E22" s="262">
        <v>278.39482802923527</v>
      </c>
      <c r="F22" s="264">
        <v>25.4</v>
      </c>
      <c r="G22" s="266">
        <v>46581</v>
      </c>
      <c r="I22" t="e">
        <f ca="1"/>
        <v>#NAME?</v>
      </c>
      <c r="J22" t="e">
        <f ca="1"/>
        <v>#NAME?</v>
      </c>
      <c r="K22" t="e">
        <f ca="1"/>
        <v>#NAME?</v>
      </c>
      <c r="L22" t="e">
        <f ca="1"/>
        <v>#NAME?</v>
      </c>
      <c r="M22" t="e">
        <f ca="1"/>
        <v>#NAME?</v>
      </c>
      <c r="N22" t="e">
        <f ca="1"/>
        <v>#NAME?</v>
      </c>
      <c r="O22" t="e">
        <f ca="1"/>
        <v>#NAME?</v>
      </c>
    </row>
    <row r="24" spans="1:23" x14ac:dyDescent="0.25">
      <c r="I24" t="s">
        <v>796</v>
      </c>
      <c r="M24" s="205" t="e">
        <f ca="1">CountFullRows(A4:G22,TRUE)</f>
        <v>#NAME?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/>
  <dimension ref="A1:P12"/>
  <sheetViews>
    <sheetView workbookViewId="0"/>
  </sheetViews>
  <sheetFormatPr defaultRowHeight="15" x14ac:dyDescent="0.25"/>
  <sheetData>
    <row r="1" spans="1:16" x14ac:dyDescent="0.25">
      <c r="A1" s="1" t="s">
        <v>1395</v>
      </c>
    </row>
    <row r="3" spans="1:16" x14ac:dyDescent="0.25">
      <c r="B3" s="508" t="s">
        <v>359</v>
      </c>
      <c r="C3" s="508" t="s">
        <v>307</v>
      </c>
      <c r="D3" s="508" t="s">
        <v>308</v>
      </c>
      <c r="E3" s="508" t="s">
        <v>309</v>
      </c>
      <c r="F3" s="508" t="s">
        <v>1396</v>
      </c>
      <c r="G3" s="508" t="s">
        <v>12</v>
      </c>
      <c r="K3" s="508" t="s">
        <v>359</v>
      </c>
      <c r="L3" s="508" t="s">
        <v>307</v>
      </c>
      <c r="M3" s="508" t="s">
        <v>308</v>
      </c>
      <c r="N3" s="508" t="s">
        <v>309</v>
      </c>
      <c r="O3" s="508" t="s">
        <v>1396</v>
      </c>
      <c r="P3" s="508" t="s">
        <v>12</v>
      </c>
    </row>
    <row r="4" spans="1:16" x14ac:dyDescent="0.25">
      <c r="A4" t="s">
        <v>99</v>
      </c>
      <c r="B4" s="316">
        <v>5</v>
      </c>
      <c r="C4" s="5">
        <v>8</v>
      </c>
      <c r="D4" s="5">
        <v>6</v>
      </c>
      <c r="E4" s="5">
        <v>2</v>
      </c>
      <c r="F4" s="317">
        <v>4</v>
      </c>
      <c r="G4">
        <f>SUM(B4:F4)</f>
        <v>25</v>
      </c>
      <c r="J4" t="s">
        <v>99</v>
      </c>
      <c r="K4" s="316">
        <v>21</v>
      </c>
      <c r="L4" s="5">
        <v>1</v>
      </c>
      <c r="M4" s="5">
        <v>1</v>
      </c>
      <c r="N4" s="5">
        <v>1</v>
      </c>
      <c r="O4" s="317">
        <v>1</v>
      </c>
      <c r="P4">
        <f>SUM(K4:O4)</f>
        <v>25</v>
      </c>
    </row>
    <row r="5" spans="1:16" x14ac:dyDescent="0.25">
      <c r="A5" t="s">
        <v>250</v>
      </c>
      <c r="B5" s="166">
        <f>B4/$G4</f>
        <v>0.2</v>
      </c>
      <c r="C5" s="8">
        <f>C4/$G4</f>
        <v>0.32</v>
      </c>
      <c r="D5" s="8">
        <f>D4/$G4</f>
        <v>0.24</v>
      </c>
      <c r="E5" s="8">
        <f>E4/$G4</f>
        <v>0.08</v>
      </c>
      <c r="F5" s="167">
        <f>F4/$G4</f>
        <v>0.16</v>
      </c>
      <c r="J5" t="s">
        <v>250</v>
      </c>
      <c r="K5" s="166">
        <f>K4/$G4</f>
        <v>0.84</v>
      </c>
      <c r="L5" s="8">
        <f>L4/$G4</f>
        <v>0.04</v>
      </c>
      <c r="M5" s="8">
        <f>M4/$G4</f>
        <v>0.04</v>
      </c>
      <c r="N5" s="8">
        <f>N4/$G4</f>
        <v>0.04</v>
      </c>
      <c r="O5" s="167">
        <f>O4/$G4</f>
        <v>0.04</v>
      </c>
    </row>
    <row r="6" spans="1:16" x14ac:dyDescent="0.25">
      <c r="A6" t="s">
        <v>1397</v>
      </c>
      <c r="B6" s="148">
        <f>LOG10(B5)</f>
        <v>-0.69897000433601875</v>
      </c>
      <c r="C6" s="276">
        <f>LOG10(C5)</f>
        <v>-0.49485002168009401</v>
      </c>
      <c r="D6" s="276">
        <f>LOG10(D5)</f>
        <v>-0.61978875828839397</v>
      </c>
      <c r="E6" s="276">
        <f>LOG10(E5)</f>
        <v>-1.0969100130080565</v>
      </c>
      <c r="F6" s="153">
        <f>LOG10(F5)</f>
        <v>-0.79588001734407521</v>
      </c>
      <c r="J6" t="s">
        <v>1397</v>
      </c>
      <c r="K6" s="148">
        <f>LOG10(K5)</f>
        <v>-7.5720713938118356E-2</v>
      </c>
      <c r="L6" s="276">
        <f>LOG10(L5)</f>
        <v>-1.3979400086720375</v>
      </c>
      <c r="M6" s="276">
        <f>LOG10(M5)</f>
        <v>-1.3979400086720375</v>
      </c>
      <c r="N6" s="276">
        <f>LOG10(N5)</f>
        <v>-1.3979400086720375</v>
      </c>
      <c r="O6" s="153">
        <f>LOG10(O5)</f>
        <v>-1.3979400086720375</v>
      </c>
    </row>
    <row r="8" spans="1:16" x14ac:dyDescent="0.25">
      <c r="A8" t="s">
        <v>1398</v>
      </c>
      <c r="B8" s="486">
        <f>-SUMPRODUCT(B5:F5,B6:F6)</f>
        <v>0.66198891360974488</v>
      </c>
      <c r="J8" t="s">
        <v>1398</v>
      </c>
      <c r="K8" s="486">
        <f>-SUMPRODUCT(K5:O5,K6:O6)</f>
        <v>0.2872758010955454</v>
      </c>
    </row>
    <row r="9" spans="1:16" x14ac:dyDescent="0.25">
      <c r="A9" t="s">
        <v>1399</v>
      </c>
      <c r="B9" s="163">
        <f>LOG10(COUNTA(B3:F3))</f>
        <v>0.69897000433601886</v>
      </c>
      <c r="J9" t="s">
        <v>1399</v>
      </c>
      <c r="K9" s="163">
        <f>LOG10(COUNTA(K3:O3))</f>
        <v>0.69897000433601886</v>
      </c>
    </row>
    <row r="10" spans="1:16" x14ac:dyDescent="0.25">
      <c r="A10" t="s">
        <v>1400</v>
      </c>
      <c r="B10" s="155">
        <f>B8/B9</f>
        <v>0.94709202040593443</v>
      </c>
      <c r="J10" t="s">
        <v>1400</v>
      </c>
      <c r="K10" s="155">
        <f>K8/K9</f>
        <v>0.41099875432915156</v>
      </c>
    </row>
    <row r="12" spans="1:16" x14ac:dyDescent="0.25">
      <c r="A12" t="s">
        <v>1398</v>
      </c>
      <c r="B12" s="205">
        <f>LOG10(SUM(B4:F4))-SUMPRODUCT(B4:F4,LOG10(B4:F4))/SUM(B4:F4)</f>
        <v>0.6619889136097451</v>
      </c>
      <c r="C12" t="e">
        <f ca="1">FTEXT(B12)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5"/>
  <dimension ref="A1:C31"/>
  <sheetViews>
    <sheetView workbookViewId="0"/>
  </sheetViews>
  <sheetFormatPr defaultRowHeight="15" x14ac:dyDescent="0.25"/>
  <sheetData>
    <row r="1" spans="1:3" x14ac:dyDescent="0.25">
      <c r="A1" s="1" t="s">
        <v>762</v>
      </c>
    </row>
    <row r="3" spans="1:3" x14ac:dyDescent="0.25">
      <c r="A3" s="19" t="s">
        <v>22</v>
      </c>
      <c r="B3" s="19" t="s">
        <v>23</v>
      </c>
      <c r="C3" s="19" t="s">
        <v>761</v>
      </c>
    </row>
    <row r="4" spans="1:3" x14ac:dyDescent="0.25">
      <c r="A4">
        <v>31</v>
      </c>
      <c r="B4">
        <v>23500</v>
      </c>
      <c r="C4">
        <v>6000</v>
      </c>
    </row>
    <row r="5" spans="1:3" x14ac:dyDescent="0.25">
      <c r="A5">
        <f t="shared" ref="A5:A13" si="0">A4+1</f>
        <v>32</v>
      </c>
      <c r="B5">
        <v>24000</v>
      </c>
      <c r="C5">
        <v>6500</v>
      </c>
    </row>
    <row r="6" spans="1:3" x14ac:dyDescent="0.25">
      <c r="A6">
        <f t="shared" si="0"/>
        <v>33</v>
      </c>
      <c r="B6">
        <v>25000</v>
      </c>
      <c r="C6">
        <v>7000</v>
      </c>
    </row>
    <row r="7" spans="1:3" x14ac:dyDescent="0.25">
      <c r="A7">
        <f t="shared" si="0"/>
        <v>34</v>
      </c>
      <c r="B7">
        <v>26700</v>
      </c>
      <c r="C7">
        <v>4500</v>
      </c>
    </row>
    <row r="8" spans="1:3" x14ac:dyDescent="0.25">
      <c r="A8">
        <f t="shared" si="0"/>
        <v>35</v>
      </c>
      <c r="B8">
        <v>27500</v>
      </c>
      <c r="C8">
        <v>6000</v>
      </c>
    </row>
    <row r="9" spans="1:3" x14ac:dyDescent="0.25">
      <c r="A9">
        <f t="shared" si="0"/>
        <v>36</v>
      </c>
      <c r="B9">
        <v>29200</v>
      </c>
      <c r="C9">
        <v>7500</v>
      </c>
    </row>
    <row r="10" spans="1:3" x14ac:dyDescent="0.25">
      <c r="A10">
        <f t="shared" si="0"/>
        <v>37</v>
      </c>
      <c r="B10">
        <v>33000</v>
      </c>
      <c r="C10">
        <v>8000</v>
      </c>
    </row>
    <row r="11" spans="1:3" x14ac:dyDescent="0.25">
      <c r="A11">
        <f t="shared" si="0"/>
        <v>38</v>
      </c>
      <c r="B11">
        <v>35100</v>
      </c>
      <c r="C11">
        <v>9000</v>
      </c>
    </row>
    <row r="12" spans="1:3" x14ac:dyDescent="0.25">
      <c r="A12">
        <f t="shared" si="0"/>
        <v>39</v>
      </c>
      <c r="B12">
        <v>37400</v>
      </c>
      <c r="C12">
        <v>7000</v>
      </c>
    </row>
    <row r="13" spans="1:3" x14ac:dyDescent="0.25">
      <c r="A13">
        <f t="shared" si="0"/>
        <v>40</v>
      </c>
      <c r="B13">
        <v>39500</v>
      </c>
      <c r="C13">
        <v>12000</v>
      </c>
    </row>
    <row r="21" spans="1:3" x14ac:dyDescent="0.25">
      <c r="A21" s="19" t="s">
        <v>22</v>
      </c>
      <c r="B21" s="19" t="s">
        <v>23</v>
      </c>
      <c r="C21" s="19" t="s">
        <v>761</v>
      </c>
    </row>
    <row r="22" spans="1:3" x14ac:dyDescent="0.25">
      <c r="A22">
        <v>31</v>
      </c>
      <c r="B22">
        <v>23500</v>
      </c>
      <c r="C22">
        <v>6000</v>
      </c>
    </row>
    <row r="23" spans="1:3" x14ac:dyDescent="0.25">
      <c r="A23">
        <f t="shared" ref="A23:A31" si="1">A22+1</f>
        <v>32</v>
      </c>
      <c r="B23">
        <v>24000</v>
      </c>
      <c r="C23">
        <v>6500</v>
      </c>
    </row>
    <row r="24" spans="1:3" x14ac:dyDescent="0.25">
      <c r="A24">
        <f t="shared" si="1"/>
        <v>33</v>
      </c>
      <c r="B24">
        <v>25000</v>
      </c>
      <c r="C24">
        <v>7000</v>
      </c>
    </row>
    <row r="25" spans="1:3" x14ac:dyDescent="0.25">
      <c r="A25">
        <f t="shared" si="1"/>
        <v>34</v>
      </c>
      <c r="B25">
        <v>26700</v>
      </c>
      <c r="C25">
        <v>4500</v>
      </c>
    </row>
    <row r="26" spans="1:3" x14ac:dyDescent="0.25">
      <c r="A26">
        <f t="shared" si="1"/>
        <v>35</v>
      </c>
      <c r="B26">
        <v>27500</v>
      </c>
      <c r="C26">
        <v>6000</v>
      </c>
    </row>
    <row r="27" spans="1:3" x14ac:dyDescent="0.25">
      <c r="A27">
        <f t="shared" si="1"/>
        <v>36</v>
      </c>
      <c r="B27">
        <v>29200</v>
      </c>
      <c r="C27">
        <v>7500</v>
      </c>
    </row>
    <row r="28" spans="1:3" x14ac:dyDescent="0.25">
      <c r="A28">
        <f t="shared" si="1"/>
        <v>37</v>
      </c>
      <c r="B28">
        <v>33000</v>
      </c>
      <c r="C28">
        <v>8000</v>
      </c>
    </row>
    <row r="29" spans="1:3" x14ac:dyDescent="0.25">
      <c r="A29">
        <f t="shared" si="1"/>
        <v>38</v>
      </c>
      <c r="B29">
        <v>35100</v>
      </c>
      <c r="C29">
        <v>9000</v>
      </c>
    </row>
    <row r="30" spans="1:3" x14ac:dyDescent="0.25">
      <c r="A30">
        <f t="shared" si="1"/>
        <v>39</v>
      </c>
      <c r="B30">
        <v>37400</v>
      </c>
      <c r="C30">
        <v>7000</v>
      </c>
    </row>
    <row r="31" spans="1:3" x14ac:dyDescent="0.25">
      <c r="A31">
        <f t="shared" si="1"/>
        <v>40</v>
      </c>
      <c r="B31">
        <v>39500</v>
      </c>
      <c r="C31">
        <v>12000</v>
      </c>
    </row>
  </sheetData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O23"/>
  <sheetViews>
    <sheetView workbookViewId="0"/>
  </sheetViews>
  <sheetFormatPr defaultRowHeight="15" x14ac:dyDescent="0.25"/>
  <cols>
    <col min="9" max="9" width="12" bestFit="1" customWidth="1"/>
    <col min="11" max="11" width="12" bestFit="1" customWidth="1"/>
  </cols>
  <sheetData>
    <row r="1" spans="1:15" x14ac:dyDescent="0.25">
      <c r="A1" s="1" t="s">
        <v>1401</v>
      </c>
    </row>
    <row r="3" spans="1:15" x14ac:dyDescent="0.25">
      <c r="B3" s="508" t="s">
        <v>359</v>
      </c>
      <c r="C3" s="508" t="s">
        <v>307</v>
      </c>
      <c r="D3" s="508" t="s">
        <v>308</v>
      </c>
      <c r="E3" s="508" t="s">
        <v>309</v>
      </c>
      <c r="F3" s="508" t="s">
        <v>1396</v>
      </c>
      <c r="G3" s="508" t="s">
        <v>12</v>
      </c>
      <c r="J3" s="508" t="s">
        <v>359</v>
      </c>
      <c r="K3" s="508" t="s">
        <v>307</v>
      </c>
      <c r="L3" s="508" t="s">
        <v>308</v>
      </c>
      <c r="M3" s="508" t="s">
        <v>309</v>
      </c>
      <c r="N3" s="508" t="s">
        <v>1396</v>
      </c>
      <c r="O3" s="508" t="s">
        <v>12</v>
      </c>
    </row>
    <row r="4" spans="1:15" x14ac:dyDescent="0.25">
      <c r="A4" t="s">
        <v>99</v>
      </c>
      <c r="B4" s="316">
        <v>12</v>
      </c>
      <c r="C4" s="5">
        <v>14</v>
      </c>
      <c r="D4" s="5">
        <v>1</v>
      </c>
      <c r="E4" s="5">
        <v>2</v>
      </c>
      <c r="F4" s="317">
        <v>3</v>
      </c>
      <c r="G4">
        <f>SUM(B4:F4)</f>
        <v>32</v>
      </c>
      <c r="I4" t="s">
        <v>99</v>
      </c>
      <c r="J4" s="316">
        <v>6</v>
      </c>
      <c r="K4" s="5">
        <v>6</v>
      </c>
      <c r="L4" s="5">
        <v>6</v>
      </c>
      <c r="M4" s="5">
        <v>7</v>
      </c>
      <c r="N4" s="317">
        <v>7</v>
      </c>
      <c r="O4">
        <f>SUM(J4:N4)</f>
        <v>32</v>
      </c>
    </row>
    <row r="5" spans="1:15" x14ac:dyDescent="0.25">
      <c r="A5" t="s">
        <v>1402</v>
      </c>
      <c r="B5" s="148">
        <f t="shared" ref="B5:G5" si="0">LOG10(FACT(B4))</f>
        <v>8.6803369640826435</v>
      </c>
      <c r="C5" s="276">
        <f t="shared" si="0"/>
        <v>10.940408352067719</v>
      </c>
      <c r="D5" s="276">
        <f t="shared" si="0"/>
        <v>0</v>
      </c>
      <c r="E5" s="276">
        <f t="shared" si="0"/>
        <v>0.3010299956639812</v>
      </c>
      <c r="F5" s="153">
        <f t="shared" si="0"/>
        <v>0.77815125038364363</v>
      </c>
      <c r="G5" s="8">
        <f t="shared" si="0"/>
        <v>35.420171747079898</v>
      </c>
      <c r="I5" t="s">
        <v>1403</v>
      </c>
      <c r="J5" s="148">
        <f t="shared" ref="J5:O5" si="1">LOG10(FACT(J4))</f>
        <v>2.8573324964312685</v>
      </c>
      <c r="K5" s="276">
        <f t="shared" si="1"/>
        <v>2.8573324964312685</v>
      </c>
      <c r="L5" s="276">
        <f t="shared" si="1"/>
        <v>2.8573324964312685</v>
      </c>
      <c r="M5" s="276">
        <f t="shared" si="1"/>
        <v>3.7024305364455254</v>
      </c>
      <c r="N5" s="153">
        <f t="shared" si="1"/>
        <v>3.7024305364455254</v>
      </c>
      <c r="O5" s="8">
        <f t="shared" si="1"/>
        <v>35.420171747079898</v>
      </c>
    </row>
    <row r="7" spans="1:15" x14ac:dyDescent="0.25">
      <c r="A7" t="s">
        <v>1404</v>
      </c>
      <c r="B7" s="486">
        <f>(G5-SUM(B5:F5))/G4</f>
        <v>0.46000766202755972</v>
      </c>
      <c r="I7" t="s">
        <v>1404</v>
      </c>
      <c r="J7" s="486">
        <f>(O5-SUM(J5:N5))/O4</f>
        <v>0.60760353702796999</v>
      </c>
    </row>
    <row r="8" spans="1:15" x14ac:dyDescent="0.25">
      <c r="A8" t="s">
        <v>151</v>
      </c>
      <c r="B8" s="163">
        <f>COUNTA(B3:F3)</f>
        <v>5</v>
      </c>
      <c r="I8" t="s">
        <v>151</v>
      </c>
      <c r="J8" s="163">
        <f>COUNTA(J3:N3)</f>
        <v>5</v>
      </c>
    </row>
    <row r="9" spans="1:15" x14ac:dyDescent="0.25">
      <c r="A9" t="s">
        <v>138</v>
      </c>
      <c r="B9" s="163">
        <f>INT(G4/B8)</f>
        <v>6</v>
      </c>
      <c r="I9" t="s">
        <v>138</v>
      </c>
      <c r="J9" s="163">
        <f>INT(O4/J8)</f>
        <v>6</v>
      </c>
    </row>
    <row r="10" spans="1:15" x14ac:dyDescent="0.25">
      <c r="A10" t="s">
        <v>139</v>
      </c>
      <c r="B10" s="163">
        <f>MOD(G4,B8)</f>
        <v>2</v>
      </c>
      <c r="I10" t="s">
        <v>139</v>
      </c>
      <c r="J10" s="163">
        <f>MOD(O4,J8)</f>
        <v>2</v>
      </c>
    </row>
    <row r="11" spans="1:15" x14ac:dyDescent="0.25">
      <c r="A11" t="s">
        <v>1405</v>
      </c>
      <c r="B11" s="163">
        <f>(LOG10(FACT(G4))-(B8-B10)*LOG10(FACT(B9))-B10*LOG10(FACT(B9+1)))/G4</f>
        <v>0.60760353702796999</v>
      </c>
      <c r="I11" t="s">
        <v>1405</v>
      </c>
      <c r="J11" s="163">
        <f>(LOG10(FACT(O4))-(J8-J10)*LOG10(FACT(J9))-J10*LOG10(FACT(J9+1)))/O4</f>
        <v>0.60760353702796999</v>
      </c>
    </row>
    <row r="12" spans="1:15" x14ac:dyDescent="0.25">
      <c r="A12" t="s">
        <v>565</v>
      </c>
      <c r="B12" s="155">
        <f>B7/B11</f>
        <v>0.75708522744558027</v>
      </c>
      <c r="I12" t="s">
        <v>565</v>
      </c>
      <c r="J12" s="155">
        <f>J7/J11</f>
        <v>1</v>
      </c>
    </row>
    <row r="15" spans="1:15" x14ac:dyDescent="0.25">
      <c r="A15" t="s">
        <v>1406</v>
      </c>
    </row>
    <row r="17" spans="1:7" x14ac:dyDescent="0.25">
      <c r="A17" t="s">
        <v>1407</v>
      </c>
      <c r="B17" s="509">
        <f>SUM(B4:F4)</f>
        <v>32</v>
      </c>
    </row>
    <row r="18" spans="1:7" x14ac:dyDescent="0.25">
      <c r="A18" t="s">
        <v>1408</v>
      </c>
      <c r="B18" s="272">
        <f>COUNT(B4:F4)</f>
        <v>5</v>
      </c>
    </row>
    <row r="19" spans="1:7" ht="15.75" thickBot="1" x14ac:dyDescent="0.3"/>
    <row r="20" spans="1:7" ht="15.75" thickTop="1" x14ac:dyDescent="0.25">
      <c r="A20" s="291"/>
      <c r="B20" s="291" t="s">
        <v>1409</v>
      </c>
      <c r="C20" s="291" t="s">
        <v>1410</v>
      </c>
      <c r="E20" s="291"/>
      <c r="F20" s="291" t="s">
        <v>1411</v>
      </c>
      <c r="G20" s="291" t="s">
        <v>1412</v>
      </c>
    </row>
    <row r="21" spans="1:7" x14ac:dyDescent="0.25">
      <c r="A21" t="s">
        <v>1413</v>
      </c>
      <c r="B21">
        <f>LN(B17)-SUMPRODUCT(B4:F4,LN(B4:F4))/B17</f>
        <v>1.2329917265749191</v>
      </c>
      <c r="C21">
        <f t="array" ref="C21">((GAMMALN(B17+1)-SUM(GAMMALN(B4:F4+1)))/B17)/LN(10)</f>
        <v>0.46000766202755955</v>
      </c>
      <c r="E21" t="s">
        <v>1414</v>
      </c>
      <c r="F21">
        <f>SUMSQ(B4:F4)/B17^2</f>
        <v>0.345703125</v>
      </c>
      <c r="G21">
        <f>SUMPRODUCT(B4:F4,B4:F4-1)/(B17*(B17-1))</f>
        <v>0.32459677419354838</v>
      </c>
    </row>
    <row r="22" spans="1:7" x14ac:dyDescent="0.25">
      <c r="A22" t="s">
        <v>1415</v>
      </c>
      <c r="B22">
        <f>LN(B18)</f>
        <v>1.6094379124341003</v>
      </c>
      <c r="C22">
        <f>((GAMMALN(B17+1)-(B18-MOD(B17,B18))*GAMMALN(1+INT(B17/B18))-MOD(B17,B18)*GAMMALN(INT(B17/B18)+2))/B17)/LN(10)</f>
        <v>0.60760353702796988</v>
      </c>
      <c r="E22" t="s">
        <v>1416</v>
      </c>
      <c r="F22">
        <f>1-F21</f>
        <v>0.654296875</v>
      </c>
      <c r="G22">
        <f>1-G21</f>
        <v>0.67540322580645162</v>
      </c>
    </row>
    <row r="23" spans="1:7" x14ac:dyDescent="0.25">
      <c r="A23" s="276" t="s">
        <v>1417</v>
      </c>
      <c r="B23" s="276">
        <f>B21/B22</f>
        <v>0.7661008337439702</v>
      </c>
      <c r="C23" s="276">
        <f>C21/C22</f>
        <v>0.75708522744558016</v>
      </c>
      <c r="E23" s="276" t="s">
        <v>1418</v>
      </c>
      <c r="F23" s="276">
        <f>1/F21</f>
        <v>2.8926553672316384</v>
      </c>
      <c r="G23" s="276">
        <f>1/G21</f>
        <v>3.0807453416149069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/>
  <dimension ref="A1:O11"/>
  <sheetViews>
    <sheetView workbookViewId="0"/>
  </sheetViews>
  <sheetFormatPr defaultRowHeight="15" x14ac:dyDescent="0.25"/>
  <cols>
    <col min="9" max="9" width="14.5703125" customWidth="1"/>
    <col min="14" max="15" width="9.85546875" customWidth="1"/>
  </cols>
  <sheetData>
    <row r="1" spans="1:15" x14ac:dyDescent="0.25">
      <c r="A1" s="1" t="s">
        <v>1419</v>
      </c>
      <c r="I1" t="s">
        <v>705</v>
      </c>
    </row>
    <row r="3" spans="1:15" x14ac:dyDescent="0.25">
      <c r="B3" s="508" t="s">
        <v>359</v>
      </c>
      <c r="C3" s="508" t="s">
        <v>307</v>
      </c>
      <c r="D3" s="508" t="s">
        <v>308</v>
      </c>
      <c r="E3" s="508" t="s">
        <v>309</v>
      </c>
      <c r="F3" s="508" t="s">
        <v>1396</v>
      </c>
      <c r="G3" s="508" t="s">
        <v>12</v>
      </c>
      <c r="I3" t="s">
        <v>1406</v>
      </c>
    </row>
    <row r="4" spans="1:15" x14ac:dyDescent="0.25">
      <c r="A4" t="s">
        <v>99</v>
      </c>
      <c r="B4" s="316">
        <v>5</v>
      </c>
      <c r="C4" s="5">
        <v>8</v>
      </c>
      <c r="D4" s="5">
        <v>6</v>
      </c>
      <c r="E4" s="5">
        <v>2</v>
      </c>
      <c r="F4" s="317">
        <v>4</v>
      </c>
      <c r="G4">
        <f>SUM(B4:F4)</f>
        <v>25</v>
      </c>
    </row>
    <row r="5" spans="1:15" x14ac:dyDescent="0.25">
      <c r="A5" t="s">
        <v>250</v>
      </c>
      <c r="B5" s="148">
        <f>B4/$G4</f>
        <v>0.2</v>
      </c>
      <c r="C5" s="276">
        <f>C4/$G4</f>
        <v>0.32</v>
      </c>
      <c r="D5" s="276">
        <f>D4/$G4</f>
        <v>0.24</v>
      </c>
      <c r="E5" s="276">
        <f>E4/$G4</f>
        <v>0.08</v>
      </c>
      <c r="F5" s="153">
        <f>F4/$G4</f>
        <v>0.16</v>
      </c>
      <c r="I5" t="s">
        <v>1407</v>
      </c>
      <c r="J5" s="509">
        <f>SUM(B4:F4)</f>
        <v>25</v>
      </c>
    </row>
    <row r="6" spans="1:15" x14ac:dyDescent="0.25">
      <c r="I6" t="s">
        <v>1408</v>
      </c>
      <c r="J6" s="272">
        <f>COUNT(B4:F4)</f>
        <v>5</v>
      </c>
    </row>
    <row r="7" spans="1:15" ht="15.75" thickBot="1" x14ac:dyDescent="0.3">
      <c r="A7" t="s">
        <v>309</v>
      </c>
      <c r="B7" s="486">
        <f>SUMSQ(B5:F5)</f>
        <v>0.23200000000000001</v>
      </c>
      <c r="D7" t="s">
        <v>1420</v>
      </c>
      <c r="E7" s="486">
        <f>SUMPRODUCT(B4:F4,B4:F4-1)/(G4*(G4-1))</f>
        <v>0.2</v>
      </c>
    </row>
    <row r="8" spans="1:15" ht="15.75" thickTop="1" x14ac:dyDescent="0.25">
      <c r="A8" t="s">
        <v>1416</v>
      </c>
      <c r="B8" s="163">
        <f>1-B7</f>
        <v>0.76800000000000002</v>
      </c>
      <c r="D8" t="s">
        <v>1421</v>
      </c>
      <c r="E8" s="163">
        <f>1-E7</f>
        <v>0.8</v>
      </c>
      <c r="I8" s="291"/>
      <c r="J8" s="291" t="s">
        <v>1409</v>
      </c>
      <c r="K8" s="291" t="s">
        <v>1410</v>
      </c>
      <c r="M8" s="291"/>
      <c r="N8" s="291" t="s">
        <v>1411</v>
      </c>
      <c r="O8" s="291" t="s">
        <v>1412</v>
      </c>
    </row>
    <row r="9" spans="1:15" x14ac:dyDescent="0.25">
      <c r="A9" t="s">
        <v>1418</v>
      </c>
      <c r="B9" s="155">
        <f>1/B7</f>
        <v>4.3103448275862064</v>
      </c>
      <c r="D9" t="s">
        <v>1422</v>
      </c>
      <c r="E9" s="155">
        <f>1/E7</f>
        <v>5</v>
      </c>
      <c r="I9" t="s">
        <v>1413</v>
      </c>
      <c r="J9">
        <f>LN(J5)-SUMPRODUCT(B4:F4,LN(B4:F4))/J5</f>
        <v>1.5242858042051217</v>
      </c>
      <c r="K9">
        <f t="array" ref="K9">(GAMMALN(J5+1)-SUM(GAMMALN(B4:F4+1)))/J5</f>
        <v>1.2864423341814091</v>
      </c>
      <c r="M9" t="s">
        <v>1414</v>
      </c>
      <c r="N9">
        <f>SUMSQ(B4:F4)/J5^2</f>
        <v>0.23200000000000001</v>
      </c>
      <c r="O9">
        <f>SUMPRODUCT(B4:F4,B4:F4-1)/(J5*(J5-1))</f>
        <v>0.2</v>
      </c>
    </row>
    <row r="10" spans="1:15" x14ac:dyDescent="0.25">
      <c r="I10" t="s">
        <v>1415</v>
      </c>
      <c r="J10">
        <f>LN(J6)</f>
        <v>1.6094379124341003</v>
      </c>
      <c r="K10">
        <f>(GAMMALN(J5+1)-(J6-MOD(J5,J6))*GAMMALN(1+INT(J5/J6))-MOD(J5,J6)*GAMMALN(INT(J5/J6)+2))/J5</f>
        <v>1.3626458603628118</v>
      </c>
      <c r="M10" t="s">
        <v>1416</v>
      </c>
      <c r="N10">
        <f>1-N9</f>
        <v>0.76800000000000002</v>
      </c>
      <c r="O10">
        <f>1-O9</f>
        <v>0.8</v>
      </c>
    </row>
    <row r="11" spans="1:15" x14ac:dyDescent="0.25">
      <c r="I11" s="276" t="s">
        <v>1417</v>
      </c>
      <c r="J11" s="276">
        <f>J9/J10</f>
        <v>0.94709202040593465</v>
      </c>
      <c r="K11" s="276">
        <f>K9/K10</f>
        <v>0.94407679324610938</v>
      </c>
      <c r="M11" s="276" t="s">
        <v>1418</v>
      </c>
      <c r="N11" s="276">
        <f>1/N9</f>
        <v>4.3103448275862064</v>
      </c>
      <c r="O11" s="276">
        <f>1/O9</f>
        <v>5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H15"/>
  <sheetViews>
    <sheetView workbookViewId="0"/>
  </sheetViews>
  <sheetFormatPr defaultRowHeight="15" x14ac:dyDescent="0.25"/>
  <cols>
    <col min="2" max="2" width="10.140625" customWidth="1"/>
  </cols>
  <sheetData>
    <row r="1" spans="1:8" x14ac:dyDescent="0.25">
      <c r="A1" s="1" t="s">
        <v>112</v>
      </c>
    </row>
    <row r="3" spans="1:8" x14ac:dyDescent="0.25">
      <c r="A3" t="s">
        <v>113</v>
      </c>
    </row>
    <row r="5" spans="1:8" x14ac:dyDescent="0.25">
      <c r="C5" s="592" t="s">
        <v>114</v>
      </c>
      <c r="D5" s="592"/>
    </row>
    <row r="6" spans="1:8" x14ac:dyDescent="0.25">
      <c r="A6" s="19" t="s">
        <v>112</v>
      </c>
      <c r="B6" s="19" t="s">
        <v>115</v>
      </c>
      <c r="C6" s="44">
        <v>0.05</v>
      </c>
      <c r="D6" s="44">
        <v>0.01</v>
      </c>
    </row>
    <row r="7" spans="1:8" x14ac:dyDescent="0.25">
      <c r="A7" s="21">
        <v>0.8</v>
      </c>
      <c r="B7">
        <v>0.2</v>
      </c>
      <c r="C7" s="45">
        <v>199</v>
      </c>
      <c r="D7" s="45">
        <v>296</v>
      </c>
    </row>
    <row r="8" spans="1:8" x14ac:dyDescent="0.25">
      <c r="A8" s="21">
        <v>0.8</v>
      </c>
      <c r="B8">
        <v>0.5</v>
      </c>
      <c r="C8" s="39">
        <v>34</v>
      </c>
      <c r="D8" s="39">
        <v>51</v>
      </c>
    </row>
    <row r="9" spans="1:8" x14ac:dyDescent="0.25">
      <c r="A9" s="21">
        <v>0.8</v>
      </c>
      <c r="B9">
        <v>0.8</v>
      </c>
      <c r="C9" s="39">
        <v>15</v>
      </c>
      <c r="D9" s="39">
        <v>22</v>
      </c>
    </row>
    <row r="10" spans="1:8" x14ac:dyDescent="0.25">
      <c r="A10" s="21">
        <v>0.9</v>
      </c>
      <c r="B10">
        <v>0.2</v>
      </c>
      <c r="C10" s="39">
        <v>265</v>
      </c>
      <c r="D10" s="39">
        <v>376</v>
      </c>
    </row>
    <row r="11" spans="1:8" x14ac:dyDescent="0.25">
      <c r="A11" s="21">
        <v>0.9</v>
      </c>
      <c r="B11">
        <v>0.5</v>
      </c>
      <c r="C11" s="39">
        <v>44</v>
      </c>
      <c r="D11" s="39">
        <v>63</v>
      </c>
    </row>
    <row r="12" spans="1:8" x14ac:dyDescent="0.25">
      <c r="A12" s="21">
        <v>0.9</v>
      </c>
      <c r="B12">
        <v>0.8</v>
      </c>
      <c r="C12" s="39">
        <v>19</v>
      </c>
      <c r="D12" s="39">
        <v>27</v>
      </c>
    </row>
    <row r="13" spans="1:8" x14ac:dyDescent="0.25">
      <c r="A13" s="21">
        <v>0.95</v>
      </c>
      <c r="B13">
        <v>0.2</v>
      </c>
      <c r="C13" s="39">
        <v>327</v>
      </c>
      <c r="D13" s="39">
        <v>449</v>
      </c>
    </row>
    <row r="14" spans="1:8" x14ac:dyDescent="0.25">
      <c r="A14" s="21">
        <v>0.95</v>
      </c>
      <c r="B14">
        <v>0.5</v>
      </c>
      <c r="C14" s="39">
        <v>54</v>
      </c>
      <c r="D14" s="39">
        <v>75</v>
      </c>
      <c r="H14" s="1"/>
    </row>
    <row r="15" spans="1:8" x14ac:dyDescent="0.25">
      <c r="A15" s="21">
        <v>0.95</v>
      </c>
      <c r="B15">
        <v>0.8</v>
      </c>
      <c r="C15" s="40">
        <v>23</v>
      </c>
      <c r="D15" s="40">
        <v>32</v>
      </c>
    </row>
  </sheetData>
  <mergeCells count="1">
    <mergeCell ref="C5:D5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H172"/>
  <sheetViews>
    <sheetView workbookViewId="0"/>
  </sheetViews>
  <sheetFormatPr defaultRowHeight="15" x14ac:dyDescent="0.25"/>
  <cols>
    <col min="2" max="2" width="7.85546875" customWidth="1"/>
  </cols>
  <sheetData>
    <row r="1" spans="1:8" x14ac:dyDescent="0.25">
      <c r="A1" s="1" t="s">
        <v>116</v>
      </c>
      <c r="B1" s="23"/>
    </row>
    <row r="2" spans="1:8" x14ac:dyDescent="0.25">
      <c r="B2" s="23"/>
    </row>
    <row r="3" spans="1:8" x14ac:dyDescent="0.25">
      <c r="A3" s="33" t="s">
        <v>117</v>
      </c>
      <c r="B3" s="46" t="s">
        <v>29</v>
      </c>
    </row>
    <row r="4" spans="1:8" x14ac:dyDescent="0.25">
      <c r="A4" s="33">
        <f>100-3*16-2</f>
        <v>50</v>
      </c>
      <c r="B4" s="23">
        <f>NORMDIST(A4,100,16,FALSE)</f>
        <v>1.8889112719992226E-4</v>
      </c>
      <c r="C4" s="22" t="s">
        <v>1261</v>
      </c>
    </row>
    <row r="5" spans="1:8" x14ac:dyDescent="0.25">
      <c r="A5" s="33">
        <f>A4+1</f>
        <v>51</v>
      </c>
      <c r="B5" s="23">
        <f t="shared" ref="B5:B68" si="0">NORMDIST(A5,100,16,FALSE)</f>
        <v>2.2918514664338913E-4</v>
      </c>
    </row>
    <row r="6" spans="1:8" x14ac:dyDescent="0.25">
      <c r="A6" s="33">
        <f t="shared" ref="A6:A69" si="1">A5+1</f>
        <v>52</v>
      </c>
      <c r="B6" s="23">
        <f t="shared" si="0"/>
        <v>2.7699052574612547E-4</v>
      </c>
    </row>
    <row r="7" spans="1:8" x14ac:dyDescent="0.25">
      <c r="A7" s="33">
        <f t="shared" si="1"/>
        <v>53</v>
      </c>
      <c r="B7" s="23">
        <f t="shared" si="0"/>
        <v>3.3346242072414468E-4</v>
      </c>
    </row>
    <row r="8" spans="1:8" x14ac:dyDescent="0.25">
      <c r="A8" s="33">
        <f t="shared" si="1"/>
        <v>54</v>
      </c>
      <c r="B8" s="23">
        <f t="shared" si="0"/>
        <v>3.9988251942022228E-4</v>
      </c>
    </row>
    <row r="9" spans="1:8" x14ac:dyDescent="0.25">
      <c r="A9" s="33">
        <f t="shared" si="1"/>
        <v>55</v>
      </c>
      <c r="B9" s="23">
        <f t="shared" si="0"/>
        <v>4.776628636716501E-4</v>
      </c>
    </row>
    <row r="10" spans="1:8" x14ac:dyDescent="0.25">
      <c r="A10" s="33">
        <f t="shared" si="1"/>
        <v>56</v>
      </c>
      <c r="B10" s="23">
        <f t="shared" si="0"/>
        <v>5.6834765634944081E-4</v>
      </c>
    </row>
    <row r="11" spans="1:8" x14ac:dyDescent="0.25">
      <c r="A11" s="33">
        <f t="shared" si="1"/>
        <v>57</v>
      </c>
      <c r="B11" s="23">
        <f t="shared" si="0"/>
        <v>6.7361260626693149E-4</v>
      </c>
    </row>
    <row r="12" spans="1:8" x14ac:dyDescent="0.25">
      <c r="A12" s="33">
        <f t="shared" si="1"/>
        <v>58</v>
      </c>
      <c r="B12" s="23">
        <f t="shared" si="0"/>
        <v>7.9526134980196454E-4</v>
      </c>
    </row>
    <row r="13" spans="1:8" x14ac:dyDescent="0.25">
      <c r="A13" s="33">
        <f t="shared" si="1"/>
        <v>59</v>
      </c>
      <c r="B13" s="23">
        <f t="shared" si="0"/>
        <v>9.3521848661962169E-4</v>
      </c>
    </row>
    <row r="14" spans="1:8" x14ac:dyDescent="0.25">
      <c r="A14" s="33">
        <f t="shared" si="1"/>
        <v>60</v>
      </c>
      <c r="B14" s="23">
        <f t="shared" si="0"/>
        <v>1.0955187808480338E-3</v>
      </c>
      <c r="H14" s="1"/>
    </row>
    <row r="15" spans="1:8" x14ac:dyDescent="0.25">
      <c r="A15" s="33">
        <f t="shared" si="1"/>
        <v>61</v>
      </c>
      <c r="B15" s="23">
        <f t="shared" si="0"/>
        <v>1.2782921107988374E-3</v>
      </c>
    </row>
    <row r="16" spans="1:8" x14ac:dyDescent="0.25">
      <c r="A16" s="33">
        <f t="shared" si="1"/>
        <v>62</v>
      </c>
      <c r="B16" s="23">
        <f t="shared" si="0"/>
        <v>1.4857438018696129E-3</v>
      </c>
    </row>
    <row r="17" spans="1:7" x14ac:dyDescent="0.25">
      <c r="A17" s="33">
        <f t="shared" si="1"/>
        <v>63</v>
      </c>
      <c r="B17" s="23">
        <f t="shared" si="0"/>
        <v>1.7201300501815293E-3</v>
      </c>
    </row>
    <row r="18" spans="1:7" x14ac:dyDescent="0.25">
      <c r="A18" s="33">
        <f t="shared" si="1"/>
        <v>64</v>
      </c>
      <c r="B18" s="23">
        <f t="shared" si="0"/>
        <v>1.9837282397292136E-3</v>
      </c>
    </row>
    <row r="19" spans="1:7" x14ac:dyDescent="0.25">
      <c r="A19" s="33">
        <f t="shared" si="1"/>
        <v>65</v>
      </c>
      <c r="B19" s="23">
        <f t="shared" si="0"/>
        <v>2.2788020735120089E-3</v>
      </c>
      <c r="G19" t="s">
        <v>123</v>
      </c>
    </row>
    <row r="20" spans="1:7" x14ac:dyDescent="0.25">
      <c r="A20" s="33">
        <f t="shared" si="1"/>
        <v>66</v>
      </c>
      <c r="B20" s="23">
        <f t="shared" si="0"/>
        <v>2.6075615785211633E-3</v>
      </c>
    </row>
    <row r="21" spans="1:7" x14ac:dyDescent="0.25">
      <c r="A21" s="33">
        <f t="shared" si="1"/>
        <v>67</v>
      </c>
      <c r="B21" s="23">
        <f t="shared" si="0"/>
        <v>2.9721182037899768E-3</v>
      </c>
    </row>
    <row r="22" spans="1:7" x14ac:dyDescent="0.25">
      <c r="A22" s="33">
        <f t="shared" si="1"/>
        <v>68</v>
      </c>
      <c r="B22" s="23">
        <f t="shared" si="0"/>
        <v>3.3744354070742539E-3</v>
      </c>
    </row>
    <row r="23" spans="1:7" x14ac:dyDescent="0.25">
      <c r="A23" s="33">
        <f t="shared" si="1"/>
        <v>69</v>
      </c>
      <c r="B23" s="23">
        <f t="shared" si="0"/>
        <v>3.8162753150666464E-3</v>
      </c>
    </row>
    <row r="24" spans="1:7" x14ac:dyDescent="0.25">
      <c r="A24" s="33">
        <f t="shared" si="1"/>
        <v>70</v>
      </c>
      <c r="B24" s="23">
        <f t="shared" si="0"/>
        <v>4.299142239168244E-3</v>
      </c>
    </row>
    <row r="25" spans="1:7" x14ac:dyDescent="0.25">
      <c r="A25" s="33">
        <f t="shared" si="1"/>
        <v>71</v>
      </c>
      <c r="B25" s="23">
        <f t="shared" si="0"/>
        <v>4.8242240274819197E-3</v>
      </c>
    </row>
    <row r="26" spans="1:7" x14ac:dyDescent="0.25">
      <c r="A26" s="33">
        <f t="shared" si="1"/>
        <v>72</v>
      </c>
      <c r="B26" s="23">
        <f t="shared" si="0"/>
        <v>5.3923324266569707E-3</v>
      </c>
    </row>
    <row r="27" spans="1:7" x14ac:dyDescent="0.25">
      <c r="A27" s="33">
        <f t="shared" si="1"/>
        <v>73</v>
      </c>
      <c r="B27" s="23">
        <f t="shared" si="0"/>
        <v>6.0038438065695846E-3</v>
      </c>
    </row>
    <row r="28" spans="1:7" x14ac:dyDescent="0.25">
      <c r="A28" s="33">
        <f t="shared" si="1"/>
        <v>74</v>
      </c>
      <c r="B28" s="23">
        <f t="shared" si="0"/>
        <v>6.6586417581615672E-3</v>
      </c>
    </row>
    <row r="29" spans="1:7" x14ac:dyDescent="0.25">
      <c r="A29" s="33">
        <f t="shared" si="1"/>
        <v>75</v>
      </c>
      <c r="B29" s="23">
        <f t="shared" si="0"/>
        <v>7.3560632015200033E-3</v>
      </c>
    </row>
    <row r="30" spans="1:7" x14ac:dyDescent="0.25">
      <c r="A30" s="33">
        <f t="shared" si="1"/>
        <v>76</v>
      </c>
      <c r="B30" s="23">
        <f t="shared" si="0"/>
        <v>8.094849729118234E-3</v>
      </c>
    </row>
    <row r="31" spans="1:7" x14ac:dyDescent="0.25">
      <c r="A31" s="33">
        <f t="shared" si="1"/>
        <v>77</v>
      </c>
      <c r="B31" s="23">
        <f t="shared" si="0"/>
        <v>8.8731059503259716E-3</v>
      </c>
    </row>
    <row r="32" spans="1:7" x14ac:dyDescent="0.25">
      <c r="A32" s="33">
        <f t="shared" si="1"/>
        <v>78</v>
      </c>
      <c r="B32" s="23">
        <f t="shared" si="0"/>
        <v>9.6882665911433262E-3</v>
      </c>
    </row>
    <row r="33" spans="1:2" x14ac:dyDescent="0.25">
      <c r="A33" s="33">
        <f t="shared" si="1"/>
        <v>79</v>
      </c>
      <c r="B33" s="23">
        <f t="shared" si="0"/>
        <v>1.0537074032382195E-2</v>
      </c>
    </row>
    <row r="34" spans="1:2" x14ac:dyDescent="0.25">
      <c r="A34" s="33">
        <f t="shared" si="1"/>
        <v>80</v>
      </c>
      <c r="B34" s="23">
        <f t="shared" si="0"/>
        <v>1.141556783681387E-2</v>
      </c>
    </row>
    <row r="35" spans="1:2" x14ac:dyDescent="0.25">
      <c r="A35" s="33">
        <f t="shared" si="1"/>
        <v>81</v>
      </c>
      <c r="B35" s="23">
        <f t="shared" si="0"/>
        <v>1.2319087619911706E-2</v>
      </c>
    </row>
    <row r="36" spans="1:2" x14ac:dyDescent="0.25">
      <c r="A36" s="33">
        <f t="shared" si="1"/>
        <v>82</v>
      </c>
      <c r="B36" s="23">
        <f t="shared" si="0"/>
        <v>1.3242290360981217E-2</v>
      </c>
    </row>
    <row r="37" spans="1:2" x14ac:dyDescent="0.25">
      <c r="A37" s="33">
        <f t="shared" si="1"/>
        <v>83</v>
      </c>
      <c r="B37" s="23">
        <f t="shared" si="0"/>
        <v>1.417918293555079E-2</v>
      </c>
    </row>
    <row r="38" spans="1:2" x14ac:dyDescent="0.25">
      <c r="A38" s="33">
        <f t="shared" si="1"/>
        <v>84</v>
      </c>
      <c r="B38" s="23">
        <f t="shared" si="0"/>
        <v>1.512317028244646E-2</v>
      </c>
    </row>
    <row r="39" spans="1:2" x14ac:dyDescent="0.25">
      <c r="A39" s="33">
        <f t="shared" si="1"/>
        <v>85</v>
      </c>
      <c r="B39" s="23">
        <f t="shared" si="0"/>
        <v>1.6067119209170918E-2</v>
      </c>
    </row>
    <row r="40" spans="1:2" x14ac:dyDescent="0.25">
      <c r="A40" s="33">
        <f t="shared" si="1"/>
        <v>86</v>
      </c>
      <c r="B40" s="23">
        <f t="shared" si="0"/>
        <v>1.700343739865897E-2</v>
      </c>
    </row>
    <row r="41" spans="1:2" x14ac:dyDescent="0.25">
      <c r="A41" s="33">
        <f t="shared" si="1"/>
        <v>87</v>
      </c>
      <c r="B41" s="23">
        <f t="shared" si="0"/>
        <v>1.7924166722900904E-2</v>
      </c>
    </row>
    <row r="42" spans="1:2" x14ac:dyDescent="0.25">
      <c r="A42" s="33">
        <f t="shared" si="1"/>
        <v>88</v>
      </c>
      <c r="B42" s="23">
        <f t="shared" si="0"/>
        <v>1.8821089509675277E-2</v>
      </c>
    </row>
    <row r="43" spans="1:2" x14ac:dyDescent="0.25">
      <c r="A43" s="33">
        <f t="shared" si="1"/>
        <v>89</v>
      </c>
      <c r="B43" s="23">
        <f t="shared" si="0"/>
        <v>1.9685845964162084E-2</v>
      </c>
    </row>
    <row r="44" spans="1:2" x14ac:dyDescent="0.25">
      <c r="A44" s="33">
        <f t="shared" si="1"/>
        <v>90</v>
      </c>
      <c r="B44" s="23">
        <f t="shared" si="0"/>
        <v>2.0510060534398442E-2</v>
      </c>
    </row>
    <row r="45" spans="1:2" x14ac:dyDescent="0.25">
      <c r="A45" s="33">
        <f t="shared" si="1"/>
        <v>91</v>
      </c>
      <c r="B45" s="23">
        <f t="shared" si="0"/>
        <v>2.1285474644989418E-2</v>
      </c>
    </row>
    <row r="46" spans="1:2" x14ac:dyDescent="0.25">
      <c r="A46" s="33">
        <f t="shared" si="1"/>
        <v>92</v>
      </c>
      <c r="B46" s="23">
        <f t="shared" si="0"/>
        <v>2.200408292276872E-2</v>
      </c>
    </row>
    <row r="47" spans="1:2" x14ac:dyDescent="0.25">
      <c r="A47" s="33">
        <f t="shared" si="1"/>
        <v>93</v>
      </c>
      <c r="B47" s="23">
        <f t="shared" si="0"/>
        <v>2.2658269815027828E-2</v>
      </c>
    </row>
    <row r="48" spans="1:2" x14ac:dyDescent="0.25">
      <c r="A48" s="33">
        <f t="shared" si="1"/>
        <v>94</v>
      </c>
      <c r="B48" s="23">
        <f t="shared" si="0"/>
        <v>2.3240943366860559E-2</v>
      </c>
    </row>
    <row r="49" spans="1:2" x14ac:dyDescent="0.25">
      <c r="A49" s="33">
        <f t="shared" si="1"/>
        <v>95</v>
      </c>
      <c r="B49" s="23">
        <f t="shared" si="0"/>
        <v>2.3745662887414237E-2</v>
      </c>
    </row>
    <row r="50" spans="1:2" x14ac:dyDescent="0.25">
      <c r="A50" s="33">
        <f t="shared" si="1"/>
        <v>96</v>
      </c>
      <c r="B50" s="23">
        <f t="shared" si="0"/>
        <v>2.4166757300178077E-2</v>
      </c>
    </row>
    <row r="51" spans="1:2" x14ac:dyDescent="0.25">
      <c r="A51" s="33">
        <f t="shared" si="1"/>
        <v>97</v>
      </c>
      <c r="B51" s="23">
        <f t="shared" si="0"/>
        <v>2.4499431140785746E-2</v>
      </c>
    </row>
    <row r="52" spans="1:2" x14ac:dyDescent="0.25">
      <c r="A52" s="33">
        <f t="shared" si="1"/>
        <v>98</v>
      </c>
      <c r="B52" s="23">
        <f t="shared" si="0"/>
        <v>2.4739855434046845E-2</v>
      </c>
    </row>
    <row r="53" spans="1:2" x14ac:dyDescent="0.25">
      <c r="A53" s="33">
        <f t="shared" si="1"/>
        <v>99</v>
      </c>
      <c r="B53" s="23">
        <f t="shared" si="0"/>
        <v>2.4885241042930415E-2</v>
      </c>
    </row>
    <row r="54" spans="1:2" x14ac:dyDescent="0.25">
      <c r="A54" s="33">
        <f t="shared" si="1"/>
        <v>100</v>
      </c>
      <c r="B54" s="23">
        <f t="shared" si="0"/>
        <v>2.4933892525089544E-2</v>
      </c>
    </row>
    <row r="55" spans="1:2" x14ac:dyDescent="0.25">
      <c r="A55" s="33">
        <f t="shared" si="1"/>
        <v>101</v>
      </c>
      <c r="B55" s="23">
        <f t="shared" si="0"/>
        <v>2.4885241042930415E-2</v>
      </c>
    </row>
    <row r="56" spans="1:2" x14ac:dyDescent="0.25">
      <c r="A56" s="33">
        <f t="shared" si="1"/>
        <v>102</v>
      </c>
      <c r="B56" s="23">
        <f t="shared" si="0"/>
        <v>2.4739855434046845E-2</v>
      </c>
    </row>
    <row r="57" spans="1:2" x14ac:dyDescent="0.25">
      <c r="A57" s="33">
        <f t="shared" si="1"/>
        <v>103</v>
      </c>
      <c r="B57" s="23">
        <f t="shared" si="0"/>
        <v>2.4499431140785746E-2</v>
      </c>
    </row>
    <row r="58" spans="1:2" x14ac:dyDescent="0.25">
      <c r="A58" s="33">
        <f t="shared" si="1"/>
        <v>104</v>
      </c>
      <c r="B58" s="23">
        <f t="shared" si="0"/>
        <v>2.4166757300178077E-2</v>
      </c>
    </row>
    <row r="59" spans="1:2" x14ac:dyDescent="0.25">
      <c r="A59" s="33">
        <f t="shared" si="1"/>
        <v>105</v>
      </c>
      <c r="B59" s="23">
        <f t="shared" si="0"/>
        <v>2.3745662887414237E-2</v>
      </c>
    </row>
    <row r="60" spans="1:2" x14ac:dyDescent="0.25">
      <c r="A60" s="33">
        <f t="shared" si="1"/>
        <v>106</v>
      </c>
      <c r="B60" s="23">
        <f t="shared" si="0"/>
        <v>2.3240943366860559E-2</v>
      </c>
    </row>
    <row r="61" spans="1:2" x14ac:dyDescent="0.25">
      <c r="A61" s="33">
        <f t="shared" si="1"/>
        <v>107</v>
      </c>
      <c r="B61" s="23">
        <f t="shared" si="0"/>
        <v>2.2658269815027828E-2</v>
      </c>
    </row>
    <row r="62" spans="1:2" x14ac:dyDescent="0.25">
      <c r="A62" s="33">
        <f t="shared" si="1"/>
        <v>108</v>
      </c>
      <c r="B62" s="23">
        <f t="shared" si="0"/>
        <v>2.200408292276872E-2</v>
      </c>
    </row>
    <row r="63" spans="1:2" x14ac:dyDescent="0.25">
      <c r="A63" s="33">
        <f t="shared" si="1"/>
        <v>109</v>
      </c>
      <c r="B63" s="23">
        <f t="shared" si="0"/>
        <v>2.1285474644989418E-2</v>
      </c>
    </row>
    <row r="64" spans="1:2" x14ac:dyDescent="0.25">
      <c r="A64" s="33">
        <f t="shared" si="1"/>
        <v>110</v>
      </c>
      <c r="B64" s="23">
        <f t="shared" si="0"/>
        <v>2.0510060534398442E-2</v>
      </c>
    </row>
    <row r="65" spans="1:2" x14ac:dyDescent="0.25">
      <c r="A65" s="33">
        <f t="shared" si="1"/>
        <v>111</v>
      </c>
      <c r="B65" s="23">
        <f t="shared" si="0"/>
        <v>1.9685845964162084E-2</v>
      </c>
    </row>
    <row r="66" spans="1:2" x14ac:dyDescent="0.25">
      <c r="A66" s="33">
        <f t="shared" si="1"/>
        <v>112</v>
      </c>
      <c r="B66" s="23">
        <f t="shared" si="0"/>
        <v>1.8821089509675277E-2</v>
      </c>
    </row>
    <row r="67" spans="1:2" x14ac:dyDescent="0.25">
      <c r="A67" s="33">
        <f t="shared" si="1"/>
        <v>113</v>
      </c>
      <c r="B67" s="23">
        <f t="shared" si="0"/>
        <v>1.7924166722900904E-2</v>
      </c>
    </row>
    <row r="68" spans="1:2" x14ac:dyDescent="0.25">
      <c r="A68" s="33">
        <f t="shared" si="1"/>
        <v>114</v>
      </c>
      <c r="B68" s="23">
        <f t="shared" si="0"/>
        <v>1.700343739865897E-2</v>
      </c>
    </row>
    <row r="69" spans="1:2" x14ac:dyDescent="0.25">
      <c r="A69" s="33">
        <f t="shared" si="1"/>
        <v>115</v>
      </c>
      <c r="B69" s="23">
        <f t="shared" ref="B69:B104" si="2">NORMDIST(A69,100,16,FALSE)</f>
        <v>1.6067119209170918E-2</v>
      </c>
    </row>
    <row r="70" spans="1:2" x14ac:dyDescent="0.25">
      <c r="A70" s="33">
        <f t="shared" ref="A70:A99" si="3">A69+1</f>
        <v>116</v>
      </c>
      <c r="B70" s="23">
        <f t="shared" si="2"/>
        <v>1.512317028244646E-2</v>
      </c>
    </row>
    <row r="71" spans="1:2" x14ac:dyDescent="0.25">
      <c r="A71" s="33">
        <f t="shared" si="3"/>
        <v>117</v>
      </c>
      <c r="B71" s="23">
        <f t="shared" si="2"/>
        <v>1.417918293555079E-2</v>
      </c>
    </row>
    <row r="72" spans="1:2" x14ac:dyDescent="0.25">
      <c r="A72" s="33">
        <f t="shared" si="3"/>
        <v>118</v>
      </c>
      <c r="B72" s="23">
        <f t="shared" si="2"/>
        <v>1.3242290360981217E-2</v>
      </c>
    </row>
    <row r="73" spans="1:2" x14ac:dyDescent="0.25">
      <c r="A73" s="33">
        <f t="shared" si="3"/>
        <v>119</v>
      </c>
      <c r="B73" s="23">
        <f t="shared" si="2"/>
        <v>1.2319087619911706E-2</v>
      </c>
    </row>
    <row r="74" spans="1:2" x14ac:dyDescent="0.25">
      <c r="A74" s="33">
        <f t="shared" si="3"/>
        <v>120</v>
      </c>
      <c r="B74" s="23">
        <f t="shared" si="2"/>
        <v>1.141556783681387E-2</v>
      </c>
    </row>
    <row r="75" spans="1:2" x14ac:dyDescent="0.25">
      <c r="A75" s="33">
        <f t="shared" si="3"/>
        <v>121</v>
      </c>
      <c r="B75" s="23">
        <f t="shared" si="2"/>
        <v>1.0537074032382195E-2</v>
      </c>
    </row>
    <row r="76" spans="1:2" x14ac:dyDescent="0.25">
      <c r="A76" s="33">
        <f t="shared" si="3"/>
        <v>122</v>
      </c>
      <c r="B76" s="23">
        <f t="shared" si="2"/>
        <v>9.6882665911433262E-3</v>
      </c>
    </row>
    <row r="77" spans="1:2" x14ac:dyDescent="0.25">
      <c r="A77" s="33">
        <f t="shared" si="3"/>
        <v>123</v>
      </c>
      <c r="B77" s="23">
        <f t="shared" si="2"/>
        <v>8.8731059503259716E-3</v>
      </c>
    </row>
    <row r="78" spans="1:2" x14ac:dyDescent="0.25">
      <c r="A78" s="33">
        <f t="shared" si="3"/>
        <v>124</v>
      </c>
      <c r="B78" s="23">
        <f t="shared" si="2"/>
        <v>8.094849729118234E-3</v>
      </c>
    </row>
    <row r="79" spans="1:2" x14ac:dyDescent="0.25">
      <c r="A79" s="33">
        <f t="shared" si="3"/>
        <v>125</v>
      </c>
      <c r="B79" s="23">
        <f t="shared" si="2"/>
        <v>7.3560632015200033E-3</v>
      </c>
    </row>
    <row r="80" spans="1:2" x14ac:dyDescent="0.25">
      <c r="A80" s="33">
        <f t="shared" si="3"/>
        <v>126</v>
      </c>
      <c r="B80" s="23">
        <f t="shared" si="2"/>
        <v>6.6586417581615672E-3</v>
      </c>
    </row>
    <row r="81" spans="1:2" x14ac:dyDescent="0.25">
      <c r="A81" s="33">
        <f t="shared" si="3"/>
        <v>127</v>
      </c>
      <c r="B81" s="23">
        <f t="shared" si="2"/>
        <v>6.0038438065695846E-3</v>
      </c>
    </row>
    <row r="82" spans="1:2" x14ac:dyDescent="0.25">
      <c r="A82" s="33">
        <f t="shared" si="3"/>
        <v>128</v>
      </c>
      <c r="B82" s="23">
        <f t="shared" si="2"/>
        <v>5.3923324266569707E-3</v>
      </c>
    </row>
    <row r="83" spans="1:2" x14ac:dyDescent="0.25">
      <c r="A83" s="33">
        <f t="shared" si="3"/>
        <v>129</v>
      </c>
      <c r="B83" s="23">
        <f t="shared" si="2"/>
        <v>4.8242240274819197E-3</v>
      </c>
    </row>
    <row r="84" spans="1:2" x14ac:dyDescent="0.25">
      <c r="A84" s="33">
        <f t="shared" si="3"/>
        <v>130</v>
      </c>
      <c r="B84" s="23">
        <f t="shared" si="2"/>
        <v>4.299142239168244E-3</v>
      </c>
    </row>
    <row r="85" spans="1:2" x14ac:dyDescent="0.25">
      <c r="A85" s="33">
        <f t="shared" si="3"/>
        <v>131</v>
      </c>
      <c r="B85" s="23">
        <f t="shared" si="2"/>
        <v>3.8162753150666464E-3</v>
      </c>
    </row>
    <row r="86" spans="1:2" x14ac:dyDescent="0.25">
      <c r="A86" s="33">
        <f t="shared" si="3"/>
        <v>132</v>
      </c>
      <c r="B86" s="23">
        <f t="shared" si="2"/>
        <v>3.3744354070742539E-3</v>
      </c>
    </row>
    <row r="87" spans="1:2" x14ac:dyDescent="0.25">
      <c r="A87" s="33">
        <f t="shared" si="3"/>
        <v>133</v>
      </c>
      <c r="B87" s="23">
        <f t="shared" si="2"/>
        <v>2.9721182037899768E-3</v>
      </c>
    </row>
    <row r="88" spans="1:2" x14ac:dyDescent="0.25">
      <c r="A88" s="33">
        <f t="shared" si="3"/>
        <v>134</v>
      </c>
      <c r="B88" s="23">
        <f t="shared" si="2"/>
        <v>2.6075615785211633E-3</v>
      </c>
    </row>
    <row r="89" spans="1:2" x14ac:dyDescent="0.25">
      <c r="A89" s="33">
        <f t="shared" si="3"/>
        <v>135</v>
      </c>
      <c r="B89" s="23">
        <f t="shared" si="2"/>
        <v>2.2788020735120089E-3</v>
      </c>
    </row>
    <row r="90" spans="1:2" x14ac:dyDescent="0.25">
      <c r="A90" s="33">
        <f t="shared" si="3"/>
        <v>136</v>
      </c>
      <c r="B90" s="23">
        <f t="shared" si="2"/>
        <v>1.9837282397292136E-3</v>
      </c>
    </row>
    <row r="91" spans="1:2" x14ac:dyDescent="0.25">
      <c r="A91" s="33">
        <f t="shared" si="3"/>
        <v>137</v>
      </c>
      <c r="B91" s="23">
        <f t="shared" si="2"/>
        <v>1.7201300501815293E-3</v>
      </c>
    </row>
    <row r="92" spans="1:2" x14ac:dyDescent="0.25">
      <c r="A92" s="33">
        <f t="shared" si="3"/>
        <v>138</v>
      </c>
      <c r="B92" s="23">
        <f t="shared" si="2"/>
        <v>1.4857438018696129E-3</v>
      </c>
    </row>
    <row r="93" spans="1:2" x14ac:dyDescent="0.25">
      <c r="A93" s="33">
        <f t="shared" si="3"/>
        <v>139</v>
      </c>
      <c r="B93" s="23">
        <f t="shared" si="2"/>
        <v>1.2782921107988374E-3</v>
      </c>
    </row>
    <row r="94" spans="1:2" x14ac:dyDescent="0.25">
      <c r="A94" s="33">
        <f t="shared" si="3"/>
        <v>140</v>
      </c>
      <c r="B94" s="23">
        <f t="shared" si="2"/>
        <v>1.0955187808480338E-3</v>
      </c>
    </row>
    <row r="95" spans="1:2" x14ac:dyDescent="0.25">
      <c r="A95" s="33">
        <f t="shared" si="3"/>
        <v>141</v>
      </c>
      <c r="B95" s="23">
        <f t="shared" si="2"/>
        <v>9.3521848661962169E-4</v>
      </c>
    </row>
    <row r="96" spans="1:2" x14ac:dyDescent="0.25">
      <c r="A96" s="33">
        <f t="shared" si="3"/>
        <v>142</v>
      </c>
      <c r="B96" s="23">
        <f t="shared" si="2"/>
        <v>7.9526134980196454E-4</v>
      </c>
    </row>
    <row r="97" spans="1:2" x14ac:dyDescent="0.25">
      <c r="A97" s="33">
        <f t="shared" si="3"/>
        <v>143</v>
      </c>
      <c r="B97" s="23">
        <f t="shared" si="2"/>
        <v>6.7361260626693149E-4</v>
      </c>
    </row>
    <row r="98" spans="1:2" x14ac:dyDescent="0.25">
      <c r="A98" s="33">
        <f t="shared" si="3"/>
        <v>144</v>
      </c>
      <c r="B98" s="23">
        <f t="shared" si="2"/>
        <v>5.6834765634944081E-4</v>
      </c>
    </row>
    <row r="99" spans="1:2" x14ac:dyDescent="0.25">
      <c r="A99" s="33">
        <f t="shared" si="3"/>
        <v>145</v>
      </c>
      <c r="B99" s="23">
        <f t="shared" si="2"/>
        <v>4.776628636716501E-4</v>
      </c>
    </row>
    <row r="100" spans="1:2" x14ac:dyDescent="0.25">
      <c r="A100" s="33">
        <f>A99+1</f>
        <v>146</v>
      </c>
      <c r="B100" s="23">
        <f t="shared" si="2"/>
        <v>3.9988251942022228E-4</v>
      </c>
    </row>
    <row r="101" spans="1:2" x14ac:dyDescent="0.25">
      <c r="A101" s="33">
        <f>A100+1</f>
        <v>147</v>
      </c>
      <c r="B101" s="23">
        <f t="shared" si="2"/>
        <v>3.3346242072414468E-4</v>
      </c>
    </row>
    <row r="102" spans="1:2" x14ac:dyDescent="0.25">
      <c r="A102" s="33">
        <f>A101+1</f>
        <v>148</v>
      </c>
      <c r="B102" s="23">
        <f t="shared" si="2"/>
        <v>2.7699052574612547E-4</v>
      </c>
    </row>
    <row r="103" spans="1:2" x14ac:dyDescent="0.25">
      <c r="A103" s="33">
        <f>A102+1</f>
        <v>149</v>
      </c>
      <c r="B103" s="23">
        <f t="shared" si="2"/>
        <v>2.2918514664338913E-4</v>
      </c>
    </row>
    <row r="104" spans="1:2" x14ac:dyDescent="0.25">
      <c r="A104" s="33">
        <f>A103+1</f>
        <v>150</v>
      </c>
      <c r="B104" s="23">
        <f t="shared" si="2"/>
        <v>1.8889112719992226E-4</v>
      </c>
    </row>
    <row r="105" spans="1:2" x14ac:dyDescent="0.25">
      <c r="A105" s="33"/>
      <c r="B105" s="23"/>
    </row>
    <row r="106" spans="1:2" x14ac:dyDescent="0.25">
      <c r="A106" s="1" t="s">
        <v>118</v>
      </c>
      <c r="B106" s="23"/>
    </row>
    <row r="107" spans="1:2" x14ac:dyDescent="0.25">
      <c r="B107" s="23"/>
    </row>
    <row r="108" spans="1:2" x14ac:dyDescent="0.25">
      <c r="A108" s="21">
        <f>-3</f>
        <v>-3</v>
      </c>
      <c r="B108" s="23">
        <f t="shared" ref="B108:B133" si="4">NORMDIST(A108,0,1,FALSE)</f>
        <v>4.4318484119380075E-3</v>
      </c>
    </row>
    <row r="109" spans="1:2" x14ac:dyDescent="0.25">
      <c r="A109" s="21">
        <f t="shared" ref="A109:A133" si="5">A108+0.25</f>
        <v>-2.75</v>
      </c>
      <c r="B109" s="23">
        <f t="shared" si="4"/>
        <v>9.0935625015910529E-3</v>
      </c>
    </row>
    <row r="110" spans="1:2" x14ac:dyDescent="0.25">
      <c r="A110" s="21">
        <f t="shared" si="5"/>
        <v>-2.5</v>
      </c>
      <c r="B110" s="23">
        <f t="shared" si="4"/>
        <v>1.752830049356854E-2</v>
      </c>
    </row>
    <row r="111" spans="1:2" x14ac:dyDescent="0.25">
      <c r="A111" s="21">
        <f t="shared" si="5"/>
        <v>-2.25</v>
      </c>
      <c r="B111" s="23">
        <f t="shared" si="4"/>
        <v>3.1739651835667418E-2</v>
      </c>
    </row>
    <row r="112" spans="1:2" x14ac:dyDescent="0.25">
      <c r="A112" s="21">
        <f t="shared" si="5"/>
        <v>-2</v>
      </c>
      <c r="B112" s="23">
        <f t="shared" si="4"/>
        <v>5.3990966513188063E-2</v>
      </c>
    </row>
    <row r="113" spans="1:2" x14ac:dyDescent="0.25">
      <c r="A113" s="21">
        <f t="shared" si="5"/>
        <v>-1.75</v>
      </c>
      <c r="B113" s="23">
        <f t="shared" si="4"/>
        <v>8.6277318826511532E-2</v>
      </c>
    </row>
    <row r="114" spans="1:2" x14ac:dyDescent="0.25">
      <c r="A114" s="21">
        <f t="shared" si="5"/>
        <v>-1.5</v>
      </c>
      <c r="B114" s="23">
        <f t="shared" si="4"/>
        <v>0.12951759566589174</v>
      </c>
    </row>
    <row r="115" spans="1:2" x14ac:dyDescent="0.25">
      <c r="A115" s="21">
        <f t="shared" si="5"/>
        <v>-1.25</v>
      </c>
      <c r="B115" s="23">
        <f t="shared" si="4"/>
        <v>0.18264908538902191</v>
      </c>
    </row>
    <row r="116" spans="1:2" x14ac:dyDescent="0.25">
      <c r="A116" s="21">
        <f t="shared" si="5"/>
        <v>-1</v>
      </c>
      <c r="B116" s="23">
        <f t="shared" si="4"/>
        <v>0.24197072451914337</v>
      </c>
    </row>
    <row r="117" spans="1:2" x14ac:dyDescent="0.25">
      <c r="A117" s="21">
        <f t="shared" si="5"/>
        <v>-0.75</v>
      </c>
      <c r="B117" s="23">
        <f t="shared" si="4"/>
        <v>0.30113743215480443</v>
      </c>
    </row>
    <row r="118" spans="1:2" x14ac:dyDescent="0.25">
      <c r="A118" s="21">
        <f t="shared" si="5"/>
        <v>-0.5</v>
      </c>
      <c r="B118" s="23">
        <f t="shared" si="4"/>
        <v>0.35206532676429952</v>
      </c>
    </row>
    <row r="119" spans="1:2" x14ac:dyDescent="0.25">
      <c r="A119" s="21">
        <f t="shared" si="5"/>
        <v>-0.25</v>
      </c>
      <c r="B119" s="23">
        <f t="shared" si="4"/>
        <v>0.38666811680284924</v>
      </c>
    </row>
    <row r="120" spans="1:2" x14ac:dyDescent="0.25">
      <c r="A120" s="21">
        <f t="shared" si="5"/>
        <v>0</v>
      </c>
      <c r="B120" s="23">
        <f t="shared" si="4"/>
        <v>0.3989422804014327</v>
      </c>
    </row>
    <row r="121" spans="1:2" x14ac:dyDescent="0.25">
      <c r="A121" s="21">
        <f t="shared" si="5"/>
        <v>0.25</v>
      </c>
      <c r="B121" s="23">
        <f t="shared" si="4"/>
        <v>0.38666811680284924</v>
      </c>
    </row>
    <row r="122" spans="1:2" x14ac:dyDescent="0.25">
      <c r="A122" s="21">
        <f t="shared" si="5"/>
        <v>0.5</v>
      </c>
      <c r="B122" s="23">
        <f t="shared" si="4"/>
        <v>0.35206532676429952</v>
      </c>
    </row>
    <row r="123" spans="1:2" x14ac:dyDescent="0.25">
      <c r="A123" s="21">
        <f t="shared" si="5"/>
        <v>0.75</v>
      </c>
      <c r="B123" s="23">
        <f t="shared" si="4"/>
        <v>0.30113743215480443</v>
      </c>
    </row>
    <row r="124" spans="1:2" x14ac:dyDescent="0.25">
      <c r="A124" s="21">
        <f t="shared" si="5"/>
        <v>1</v>
      </c>
      <c r="B124" s="23">
        <f t="shared" si="4"/>
        <v>0.24197072451914337</v>
      </c>
    </row>
    <row r="125" spans="1:2" x14ac:dyDescent="0.25">
      <c r="A125" s="21">
        <f t="shared" si="5"/>
        <v>1.25</v>
      </c>
      <c r="B125" s="23">
        <f t="shared" si="4"/>
        <v>0.18264908538902191</v>
      </c>
    </row>
    <row r="126" spans="1:2" x14ac:dyDescent="0.25">
      <c r="A126" s="21">
        <f t="shared" si="5"/>
        <v>1.5</v>
      </c>
      <c r="B126" s="23">
        <f t="shared" si="4"/>
        <v>0.12951759566589174</v>
      </c>
    </row>
    <row r="127" spans="1:2" x14ac:dyDescent="0.25">
      <c r="A127" s="21">
        <f t="shared" si="5"/>
        <v>1.75</v>
      </c>
      <c r="B127" s="23">
        <f t="shared" si="4"/>
        <v>8.6277318826511532E-2</v>
      </c>
    </row>
    <row r="128" spans="1:2" x14ac:dyDescent="0.25">
      <c r="A128" s="21">
        <f t="shared" si="5"/>
        <v>2</v>
      </c>
      <c r="B128" s="23">
        <f t="shared" si="4"/>
        <v>5.3990966513188063E-2</v>
      </c>
    </row>
    <row r="129" spans="1:3" x14ac:dyDescent="0.25">
      <c r="A129" s="21">
        <f t="shared" si="5"/>
        <v>2.25</v>
      </c>
      <c r="B129" s="23">
        <f t="shared" si="4"/>
        <v>3.1739651835667418E-2</v>
      </c>
    </row>
    <row r="130" spans="1:3" x14ac:dyDescent="0.25">
      <c r="A130" s="21">
        <f t="shared" si="5"/>
        <v>2.5</v>
      </c>
      <c r="B130" s="23">
        <f t="shared" si="4"/>
        <v>1.752830049356854E-2</v>
      </c>
    </row>
    <row r="131" spans="1:3" x14ac:dyDescent="0.25">
      <c r="A131" s="21">
        <f t="shared" si="5"/>
        <v>2.75</v>
      </c>
      <c r="B131" s="23">
        <f t="shared" si="4"/>
        <v>9.0935625015910529E-3</v>
      </c>
    </row>
    <row r="132" spans="1:3" x14ac:dyDescent="0.25">
      <c r="A132" s="21">
        <f t="shared" si="5"/>
        <v>3</v>
      </c>
      <c r="B132" s="23">
        <f t="shared" si="4"/>
        <v>4.4318484119380075E-3</v>
      </c>
    </row>
    <row r="133" spans="1:3" x14ac:dyDescent="0.25">
      <c r="A133" s="21">
        <f t="shared" si="5"/>
        <v>3.25</v>
      </c>
      <c r="B133" s="23">
        <f t="shared" si="4"/>
        <v>2.0290480572997681E-3</v>
      </c>
    </row>
    <row r="134" spans="1:3" x14ac:dyDescent="0.25">
      <c r="A134" s="21"/>
      <c r="B134" s="23"/>
    </row>
    <row r="135" spans="1:3" x14ac:dyDescent="0.25">
      <c r="A135" s="21" t="s">
        <v>119</v>
      </c>
      <c r="B135" s="23"/>
    </row>
    <row r="136" spans="1:3" x14ac:dyDescent="0.25">
      <c r="A136" s="21"/>
      <c r="B136" s="23"/>
    </row>
    <row r="137" spans="1:3" x14ac:dyDescent="0.25">
      <c r="A137" s="21" t="s">
        <v>120</v>
      </c>
      <c r="B137" s="23"/>
    </row>
    <row r="138" spans="1:3" x14ac:dyDescent="0.25">
      <c r="A138" s="21"/>
      <c r="B138" s="23"/>
    </row>
    <row r="139" spans="1:3" x14ac:dyDescent="0.25">
      <c r="B139" s="46" t="s">
        <v>121</v>
      </c>
      <c r="C139" s="33" t="s">
        <v>122</v>
      </c>
    </row>
    <row r="140" spans="1:3" x14ac:dyDescent="0.25">
      <c r="A140">
        <v>52</v>
      </c>
      <c r="B140" s="23">
        <f>NORMDIST(A140,100,16,FALSE)</f>
        <v>2.7699052574612547E-4</v>
      </c>
      <c r="C140" s="23">
        <f>NORMDIST(A140,116,16,FALSE)</f>
        <v>8.3643891103053355E-6</v>
      </c>
    </row>
    <row r="141" spans="1:3" x14ac:dyDescent="0.25">
      <c r="A141">
        <f>A140+4</f>
        <v>56</v>
      </c>
      <c r="B141" s="23">
        <f t="shared" ref="B141:B172" si="6">NORMDIST(A141,100,16,FALSE)</f>
        <v>5.6834765634944081E-4</v>
      </c>
      <c r="C141" s="23">
        <f t="shared" ref="C141:C148" si="7">NORMDIST(A141,116,16,FALSE)</f>
        <v>2.2037230147965338E-5</v>
      </c>
    </row>
    <row r="142" spans="1:3" x14ac:dyDescent="0.25">
      <c r="A142">
        <f t="shared" ref="A142:A148" si="8">A141+4</f>
        <v>60</v>
      </c>
      <c r="B142" s="23">
        <f t="shared" si="6"/>
        <v>1.0955187808480338E-3</v>
      </c>
      <c r="C142" s="23">
        <f t="shared" si="7"/>
        <v>5.454266844036001E-5</v>
      </c>
    </row>
    <row r="143" spans="1:3" x14ac:dyDescent="0.25">
      <c r="A143">
        <f t="shared" si="8"/>
        <v>64</v>
      </c>
      <c r="B143" s="23">
        <f t="shared" si="6"/>
        <v>1.9837282397292136E-3</v>
      </c>
      <c r="C143" s="23">
        <f t="shared" si="7"/>
        <v>1.2681550358123551E-4</v>
      </c>
    </row>
    <row r="144" spans="1:3" x14ac:dyDescent="0.25">
      <c r="A144">
        <f t="shared" si="8"/>
        <v>68</v>
      </c>
      <c r="B144" s="23">
        <f t="shared" si="6"/>
        <v>3.3744354070742539E-3</v>
      </c>
      <c r="C144" s="23">
        <f t="shared" si="7"/>
        <v>2.7699052574612547E-4</v>
      </c>
    </row>
    <row r="145" spans="1:3" x14ac:dyDescent="0.25">
      <c r="A145">
        <f t="shared" si="8"/>
        <v>72</v>
      </c>
      <c r="B145" s="23">
        <f t="shared" si="6"/>
        <v>5.3923324266569707E-3</v>
      </c>
      <c r="C145" s="23">
        <f t="shared" si="7"/>
        <v>5.6834765634944081E-4</v>
      </c>
    </row>
    <row r="146" spans="1:3" x14ac:dyDescent="0.25">
      <c r="A146">
        <f t="shared" si="8"/>
        <v>76</v>
      </c>
      <c r="B146" s="23">
        <f t="shared" si="6"/>
        <v>8.094849729118234E-3</v>
      </c>
      <c r="C146" s="23">
        <f t="shared" si="7"/>
        <v>1.0955187808480338E-3</v>
      </c>
    </row>
    <row r="147" spans="1:3" x14ac:dyDescent="0.25">
      <c r="A147">
        <f t="shared" si="8"/>
        <v>80</v>
      </c>
      <c r="B147" s="23">
        <f t="shared" si="6"/>
        <v>1.141556783681387E-2</v>
      </c>
      <c r="C147" s="23">
        <f t="shared" si="7"/>
        <v>1.9837282397292136E-3</v>
      </c>
    </row>
    <row r="148" spans="1:3" x14ac:dyDescent="0.25">
      <c r="A148">
        <f t="shared" si="8"/>
        <v>84</v>
      </c>
      <c r="B148" s="23">
        <f t="shared" si="6"/>
        <v>1.512317028244646E-2</v>
      </c>
      <c r="C148" s="23">
        <f t="shared" si="7"/>
        <v>3.3744354070742539E-3</v>
      </c>
    </row>
    <row r="149" spans="1:3" x14ac:dyDescent="0.25">
      <c r="A149">
        <f t="shared" ref="A149:A155" si="9">A148+4</f>
        <v>88</v>
      </c>
      <c r="B149" s="23">
        <f t="shared" si="6"/>
        <v>1.8821089509675277E-2</v>
      </c>
      <c r="C149" s="23">
        <f t="shared" ref="C149:C155" si="10">NORMDIST(A149,116,16,FALSE)</f>
        <v>5.3923324266569707E-3</v>
      </c>
    </row>
    <row r="150" spans="1:3" x14ac:dyDescent="0.25">
      <c r="A150">
        <f t="shared" si="9"/>
        <v>92</v>
      </c>
      <c r="B150" s="23">
        <f t="shared" si="6"/>
        <v>2.200408292276872E-2</v>
      </c>
      <c r="C150" s="23">
        <f t="shared" si="10"/>
        <v>8.094849729118234E-3</v>
      </c>
    </row>
    <row r="151" spans="1:3" x14ac:dyDescent="0.25">
      <c r="A151">
        <f t="shared" si="9"/>
        <v>96</v>
      </c>
      <c r="B151" s="23">
        <f t="shared" si="6"/>
        <v>2.4166757300178077E-2</v>
      </c>
      <c r="C151" s="23">
        <f t="shared" si="10"/>
        <v>1.141556783681387E-2</v>
      </c>
    </row>
    <row r="152" spans="1:3" x14ac:dyDescent="0.25">
      <c r="A152">
        <f t="shared" si="9"/>
        <v>100</v>
      </c>
      <c r="B152" s="23">
        <f t="shared" si="6"/>
        <v>2.4933892525089544E-2</v>
      </c>
      <c r="C152" s="23">
        <f t="shared" si="10"/>
        <v>1.512317028244646E-2</v>
      </c>
    </row>
    <row r="153" spans="1:3" x14ac:dyDescent="0.25">
      <c r="A153">
        <f t="shared" si="9"/>
        <v>104</v>
      </c>
      <c r="B153" s="23">
        <f t="shared" si="6"/>
        <v>2.4166757300178077E-2</v>
      </c>
      <c r="C153" s="23">
        <f t="shared" si="10"/>
        <v>1.8821089509675277E-2</v>
      </c>
    </row>
    <row r="154" spans="1:3" x14ac:dyDescent="0.25">
      <c r="A154">
        <f t="shared" si="9"/>
        <v>108</v>
      </c>
      <c r="B154" s="23">
        <f t="shared" si="6"/>
        <v>2.200408292276872E-2</v>
      </c>
      <c r="C154" s="23">
        <f t="shared" si="10"/>
        <v>2.200408292276872E-2</v>
      </c>
    </row>
    <row r="155" spans="1:3" x14ac:dyDescent="0.25">
      <c r="A155">
        <f t="shared" si="9"/>
        <v>112</v>
      </c>
      <c r="B155" s="23">
        <f t="shared" si="6"/>
        <v>1.8821089509675277E-2</v>
      </c>
      <c r="C155" s="23">
        <f t="shared" si="10"/>
        <v>2.4166757300178077E-2</v>
      </c>
    </row>
    <row r="156" spans="1:3" x14ac:dyDescent="0.25">
      <c r="A156">
        <f t="shared" ref="A156:A168" si="11">A155+4</f>
        <v>116</v>
      </c>
      <c r="B156" s="23">
        <f t="shared" si="6"/>
        <v>1.512317028244646E-2</v>
      </c>
      <c r="C156" s="23">
        <f t="shared" ref="C156:C168" si="12">NORMDIST(A156,116,16,FALSE)</f>
        <v>2.4933892525089544E-2</v>
      </c>
    </row>
    <row r="157" spans="1:3" x14ac:dyDescent="0.25">
      <c r="A157">
        <f t="shared" si="11"/>
        <v>120</v>
      </c>
      <c r="B157" s="23">
        <f t="shared" si="6"/>
        <v>1.141556783681387E-2</v>
      </c>
      <c r="C157" s="23">
        <f t="shared" si="12"/>
        <v>2.4166757300178077E-2</v>
      </c>
    </row>
    <row r="158" spans="1:3" x14ac:dyDescent="0.25">
      <c r="A158">
        <f t="shared" si="11"/>
        <v>124</v>
      </c>
      <c r="B158" s="23">
        <f t="shared" si="6"/>
        <v>8.094849729118234E-3</v>
      </c>
      <c r="C158" s="23">
        <f t="shared" si="12"/>
        <v>2.200408292276872E-2</v>
      </c>
    </row>
    <row r="159" spans="1:3" x14ac:dyDescent="0.25">
      <c r="A159">
        <f t="shared" si="11"/>
        <v>128</v>
      </c>
      <c r="B159" s="23">
        <f t="shared" si="6"/>
        <v>5.3923324266569707E-3</v>
      </c>
      <c r="C159" s="23">
        <f t="shared" si="12"/>
        <v>1.8821089509675277E-2</v>
      </c>
    </row>
    <row r="160" spans="1:3" x14ac:dyDescent="0.25">
      <c r="A160">
        <f t="shared" si="11"/>
        <v>132</v>
      </c>
      <c r="B160" s="23">
        <f t="shared" si="6"/>
        <v>3.3744354070742539E-3</v>
      </c>
      <c r="C160" s="23">
        <f t="shared" si="12"/>
        <v>1.512317028244646E-2</v>
      </c>
    </row>
    <row r="161" spans="1:3" x14ac:dyDescent="0.25">
      <c r="A161">
        <f t="shared" si="11"/>
        <v>136</v>
      </c>
      <c r="B161" s="23">
        <f t="shared" si="6"/>
        <v>1.9837282397292136E-3</v>
      </c>
      <c r="C161" s="23">
        <f t="shared" si="12"/>
        <v>1.141556783681387E-2</v>
      </c>
    </row>
    <row r="162" spans="1:3" x14ac:dyDescent="0.25">
      <c r="A162">
        <f t="shared" si="11"/>
        <v>140</v>
      </c>
      <c r="B162" s="23">
        <f t="shared" si="6"/>
        <v>1.0955187808480338E-3</v>
      </c>
      <c r="C162" s="23">
        <f t="shared" si="12"/>
        <v>8.094849729118234E-3</v>
      </c>
    </row>
    <row r="163" spans="1:3" x14ac:dyDescent="0.25">
      <c r="A163">
        <f t="shared" si="11"/>
        <v>144</v>
      </c>
      <c r="B163" s="23">
        <f t="shared" si="6"/>
        <v>5.6834765634944081E-4</v>
      </c>
      <c r="C163" s="23">
        <f t="shared" si="12"/>
        <v>5.3923324266569707E-3</v>
      </c>
    </row>
    <row r="164" spans="1:3" x14ac:dyDescent="0.25">
      <c r="A164">
        <f t="shared" si="11"/>
        <v>148</v>
      </c>
      <c r="B164" s="23">
        <f t="shared" si="6"/>
        <v>2.7699052574612547E-4</v>
      </c>
      <c r="C164" s="23">
        <f t="shared" si="12"/>
        <v>3.3744354070742539E-3</v>
      </c>
    </row>
    <row r="165" spans="1:3" x14ac:dyDescent="0.25">
      <c r="A165">
        <f t="shared" si="11"/>
        <v>152</v>
      </c>
      <c r="B165" s="23">
        <f t="shared" si="6"/>
        <v>1.2681550358123551E-4</v>
      </c>
      <c r="C165" s="23">
        <f t="shared" si="12"/>
        <v>1.9837282397292136E-3</v>
      </c>
    </row>
    <row r="166" spans="1:3" x14ac:dyDescent="0.25">
      <c r="A166">
        <f t="shared" si="11"/>
        <v>156</v>
      </c>
      <c r="B166" s="23">
        <f t="shared" si="6"/>
        <v>5.454266844036001E-5</v>
      </c>
      <c r="C166" s="23">
        <f t="shared" si="12"/>
        <v>1.0955187808480338E-3</v>
      </c>
    </row>
    <row r="167" spans="1:3" x14ac:dyDescent="0.25">
      <c r="A167">
        <f t="shared" si="11"/>
        <v>160</v>
      </c>
      <c r="B167" s="23">
        <f t="shared" si="6"/>
        <v>2.2037230147965338E-5</v>
      </c>
      <c r="C167" s="23">
        <f t="shared" si="12"/>
        <v>5.6834765634944081E-4</v>
      </c>
    </row>
    <row r="168" spans="1:3" x14ac:dyDescent="0.25">
      <c r="A168">
        <f t="shared" si="11"/>
        <v>164</v>
      </c>
      <c r="B168" s="23">
        <f t="shared" si="6"/>
        <v>8.3643891103053355E-6</v>
      </c>
      <c r="C168" s="23">
        <f t="shared" si="12"/>
        <v>2.7699052574612547E-4</v>
      </c>
    </row>
    <row r="169" spans="1:3" x14ac:dyDescent="0.25">
      <c r="A169">
        <f>A168+4</f>
        <v>168</v>
      </c>
      <c r="B169" s="23">
        <f t="shared" si="6"/>
        <v>2.9824147838253095E-6</v>
      </c>
      <c r="C169" s="23">
        <f>NORMDIST(A169,116,16,FALSE)</f>
        <v>1.2681550358123551E-4</v>
      </c>
    </row>
    <row r="170" spans="1:3" x14ac:dyDescent="0.25">
      <c r="A170">
        <f>A169+4</f>
        <v>172</v>
      </c>
      <c r="B170" s="23">
        <f t="shared" si="6"/>
        <v>9.9898381918159216E-7</v>
      </c>
      <c r="C170" s="23">
        <f>NORMDIST(A170,116,16,FALSE)</f>
        <v>5.454266844036001E-5</v>
      </c>
    </row>
    <row r="171" spans="1:3" x14ac:dyDescent="0.25">
      <c r="A171">
        <f>A170+4</f>
        <v>176</v>
      </c>
      <c r="B171" s="23">
        <f t="shared" si="6"/>
        <v>3.1434420553702784E-7</v>
      </c>
      <c r="C171" s="23">
        <f>NORMDIST(A171,116,16,FALSE)</f>
        <v>2.2037230147965338E-5</v>
      </c>
    </row>
    <row r="172" spans="1:3" x14ac:dyDescent="0.25">
      <c r="A172">
        <f>A171+4</f>
        <v>180</v>
      </c>
      <c r="B172" s="23">
        <f t="shared" si="6"/>
        <v>9.2919969670893605E-8</v>
      </c>
      <c r="C172" s="23">
        <f>NORMDIST(A172,116,16,FALSE)</f>
        <v>8.3643891103053355E-6</v>
      </c>
    </row>
  </sheetData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3"/>
  <dimension ref="A1:B11"/>
  <sheetViews>
    <sheetView workbookViewId="0"/>
  </sheetViews>
  <sheetFormatPr defaultRowHeight="15" x14ac:dyDescent="0.25"/>
  <cols>
    <col min="1" max="1" width="13.42578125" customWidth="1"/>
  </cols>
  <sheetData>
    <row r="1" spans="1:2" x14ac:dyDescent="0.25">
      <c r="A1" s="1" t="s">
        <v>116</v>
      </c>
    </row>
    <row r="3" spans="1:2" x14ac:dyDescent="0.25">
      <c r="A3" t="s">
        <v>63</v>
      </c>
      <c r="B3" s="154">
        <v>150</v>
      </c>
    </row>
    <row r="4" spans="1:2" x14ac:dyDescent="0.25">
      <c r="A4" t="s">
        <v>199</v>
      </c>
      <c r="B4" s="155">
        <v>25</v>
      </c>
    </row>
    <row r="6" spans="1:2" x14ac:dyDescent="0.25">
      <c r="A6" t="s">
        <v>432</v>
      </c>
      <c r="B6" s="154">
        <v>145</v>
      </c>
    </row>
    <row r="7" spans="1:2" x14ac:dyDescent="0.25">
      <c r="A7" t="s">
        <v>433</v>
      </c>
      <c r="B7" s="155">
        <v>155</v>
      </c>
    </row>
    <row r="9" spans="1:2" x14ac:dyDescent="0.25">
      <c r="A9" t="s">
        <v>434</v>
      </c>
      <c r="B9" s="154">
        <f>NORMDIST(B6,B3,B4,TRUE)</f>
        <v>0.42074029056089696</v>
      </c>
    </row>
    <row r="10" spans="1:2" x14ac:dyDescent="0.25">
      <c r="A10" t="s">
        <v>435</v>
      </c>
      <c r="B10" s="163">
        <f>NORMDIST(B7,B3,B4,TRUE)</f>
        <v>0.57925970943910299</v>
      </c>
    </row>
    <row r="11" spans="1:2" x14ac:dyDescent="0.25">
      <c r="A11" t="s">
        <v>436</v>
      </c>
      <c r="B11" s="155">
        <f>B10-B9</f>
        <v>0.15851941887820603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1"/>
  <dimension ref="A1:U156"/>
  <sheetViews>
    <sheetView workbookViewId="0"/>
  </sheetViews>
  <sheetFormatPr defaultRowHeight="15" x14ac:dyDescent="0.25"/>
  <cols>
    <col min="1" max="1" width="9.140625" style="385"/>
    <col min="5" max="5" width="3.28515625" customWidth="1"/>
    <col min="6" max="6" width="34.5703125" customWidth="1"/>
    <col min="16" max="16" width="9.140625" style="385"/>
    <col min="20" max="20" width="3.28515625" customWidth="1"/>
    <col min="21" max="21" width="38" customWidth="1"/>
  </cols>
  <sheetData>
    <row r="1" spans="1:21" x14ac:dyDescent="0.25">
      <c r="A1" s="455" t="s">
        <v>1260</v>
      </c>
      <c r="P1" s="455" t="s">
        <v>1260</v>
      </c>
    </row>
    <row r="2" spans="1:21" x14ac:dyDescent="0.25">
      <c r="A2" s="455"/>
      <c r="P2" s="455"/>
    </row>
    <row r="3" spans="1:21" x14ac:dyDescent="0.25">
      <c r="A3" s="385" t="s">
        <v>63</v>
      </c>
      <c r="B3" s="43">
        <v>0</v>
      </c>
      <c r="C3" s="43">
        <v>0</v>
      </c>
      <c r="D3" s="43">
        <v>0</v>
      </c>
      <c r="P3" s="385" t="s">
        <v>63</v>
      </c>
      <c r="Q3" s="43">
        <v>0</v>
      </c>
      <c r="R3" s="43">
        <v>0</v>
      </c>
      <c r="S3" s="43">
        <v>0</v>
      </c>
    </row>
    <row r="4" spans="1:21" x14ac:dyDescent="0.25">
      <c r="A4" s="385" t="s">
        <v>66</v>
      </c>
      <c r="B4" s="43">
        <v>1</v>
      </c>
      <c r="C4" s="43">
        <v>0.5</v>
      </c>
      <c r="D4" s="43">
        <v>0.25</v>
      </c>
      <c r="P4" s="385" t="s">
        <v>66</v>
      </c>
      <c r="Q4" s="43">
        <v>1</v>
      </c>
      <c r="R4" s="43">
        <v>0.5</v>
      </c>
      <c r="S4" s="43">
        <v>0.25</v>
      </c>
    </row>
    <row r="6" spans="1:21" x14ac:dyDescent="0.25">
      <c r="A6" s="457" t="s">
        <v>28</v>
      </c>
      <c r="B6" s="454" t="s">
        <v>29</v>
      </c>
      <c r="C6" s="454" t="s">
        <v>29</v>
      </c>
      <c r="D6" s="454" t="s">
        <v>29</v>
      </c>
      <c r="P6" s="457" t="s">
        <v>28</v>
      </c>
      <c r="Q6" s="454" t="s">
        <v>29</v>
      </c>
      <c r="R6" s="454" t="s">
        <v>29</v>
      </c>
      <c r="S6" s="454" t="s">
        <v>29</v>
      </c>
    </row>
    <row r="7" spans="1:21" x14ac:dyDescent="0.25">
      <c r="A7" s="456">
        <v>0.02</v>
      </c>
      <c r="B7" s="23">
        <f>_xlfn.LOGNORM.DIST($A7,B$3,B$4,FALSE)</f>
        <v>9.4770942323456845E-3</v>
      </c>
      <c r="C7" s="23">
        <f>_xlfn.LOGNORM.DIST($A7,C$3,C$4,FALSE)</f>
        <v>2.0327809439919852E-12</v>
      </c>
      <c r="D7" s="23">
        <f>_xlfn.LOGNORM.DIST($A7,D$3,D$4,FALSE)</f>
        <v>5.3785117474706628E-52</v>
      </c>
      <c r="E7" s="22"/>
      <c r="F7" t="e">
        <f ca="1">FTEXT(B7)</f>
        <v>#NAME?</v>
      </c>
      <c r="P7" s="456">
        <v>0.02</v>
      </c>
      <c r="Q7" s="23">
        <f>NORMDIST(LN($A7),Q$3,Q$4,FALSE)/$P7</f>
        <v>9.4770942323456672E-3</v>
      </c>
      <c r="R7" s="23">
        <f t="shared" ref="R7:S22" si="0">NORMDIST(LN($A7),R$3,R$4,FALSE)/$P7</f>
        <v>2.0327809439919957E-12</v>
      </c>
      <c r="S7" s="23">
        <f t="shared" si="0"/>
        <v>5.3785117474706309E-52</v>
      </c>
      <c r="T7" s="22"/>
      <c r="U7" t="e">
        <f ca="1">FTEXT(Q7)</f>
        <v>#NAME?</v>
      </c>
    </row>
    <row r="8" spans="1:21" x14ac:dyDescent="0.25">
      <c r="A8" s="456">
        <f>A7+0.02</f>
        <v>0.04</v>
      </c>
      <c r="B8" s="23">
        <f t="shared" ref="B8:D23" si="1">_xlfn.LOGNORM.DIST($A8,B$3,B$4,FALSE)</f>
        <v>5.6098651941979008E-2</v>
      </c>
      <c r="C8" s="23">
        <f t="shared" si="1"/>
        <v>1.9965926733175666E-8</v>
      </c>
      <c r="D8" s="23">
        <f t="shared" si="1"/>
        <v>4.0044942792792622E-35</v>
      </c>
      <c r="P8" s="456">
        <f>P7+0.02</f>
        <v>0.04</v>
      </c>
      <c r="Q8" s="23">
        <f t="shared" ref="Q8:S39" si="2">NORMDIST(LN($A8),Q$3,Q$4,FALSE)/$P8</f>
        <v>5.6098651941979064E-2</v>
      </c>
      <c r="R8" s="23">
        <f t="shared" si="0"/>
        <v>1.9965926733175838E-8</v>
      </c>
      <c r="S8" s="23">
        <f t="shared" si="0"/>
        <v>4.0044942792791404E-35</v>
      </c>
    </row>
    <row r="9" spans="1:21" x14ac:dyDescent="0.25">
      <c r="A9" s="456">
        <f t="shared" ref="A9:A72" si="3">A8+0.02</f>
        <v>0.06</v>
      </c>
      <c r="B9" s="23">
        <f t="shared" si="1"/>
        <v>0.12705086676108004</v>
      </c>
      <c r="C9" s="23">
        <f t="shared" si="1"/>
        <v>1.7728176964408489E-6</v>
      </c>
      <c r="D9" s="23">
        <f t="shared" si="1"/>
        <v>8.4007851025642411E-27</v>
      </c>
      <c r="P9" s="456">
        <f t="shared" ref="P9:P72" si="4">P8+0.02</f>
        <v>0.06</v>
      </c>
      <c r="Q9" s="23">
        <f t="shared" si="2"/>
        <v>0.12705086676108018</v>
      </c>
      <c r="R9" s="23">
        <f t="shared" si="0"/>
        <v>1.7728176964408502E-6</v>
      </c>
      <c r="S9" s="23">
        <f t="shared" si="0"/>
        <v>8.4007851025642727E-27</v>
      </c>
    </row>
    <row r="10" spans="1:21" x14ac:dyDescent="0.25">
      <c r="A10" s="456">
        <f t="shared" si="3"/>
        <v>0.08</v>
      </c>
      <c r="B10" s="23">
        <f t="shared" si="1"/>
        <v>0.20538634140584103</v>
      </c>
      <c r="C10" s="23">
        <f t="shared" si="1"/>
        <v>2.8698288311403975E-5</v>
      </c>
      <c r="D10" s="23">
        <f t="shared" si="1"/>
        <v>1.3674257363060961E-21</v>
      </c>
      <c r="P10" s="456">
        <f t="shared" si="4"/>
        <v>0.08</v>
      </c>
      <c r="Q10" s="23">
        <f t="shared" si="2"/>
        <v>0.205386341405841</v>
      </c>
      <c r="R10" s="23">
        <f t="shared" si="0"/>
        <v>2.8698288311403935E-5</v>
      </c>
      <c r="S10" s="23">
        <f t="shared" si="0"/>
        <v>1.3674257363061183E-21</v>
      </c>
    </row>
    <row r="11" spans="1:21" x14ac:dyDescent="0.25">
      <c r="A11" s="456">
        <f t="shared" si="3"/>
        <v>0.1</v>
      </c>
      <c r="B11" s="23">
        <f t="shared" si="1"/>
        <v>0.28159018901526828</v>
      </c>
      <c r="C11" s="23">
        <f t="shared" si="1"/>
        <v>1.9804773299183633E-4</v>
      </c>
      <c r="D11" s="23">
        <f t="shared" si="1"/>
        <v>6.0574426797621494E-18</v>
      </c>
      <c r="P11" s="456">
        <f t="shared" si="4"/>
        <v>0.1</v>
      </c>
      <c r="Q11" s="23">
        <f t="shared" si="2"/>
        <v>0.28159018901526833</v>
      </c>
      <c r="R11" s="23">
        <f t="shared" si="0"/>
        <v>1.980477329918363E-4</v>
      </c>
      <c r="S11" s="23">
        <f t="shared" si="0"/>
        <v>6.0574426797622326E-18</v>
      </c>
    </row>
    <row r="12" spans="1:21" x14ac:dyDescent="0.25">
      <c r="A12" s="456">
        <f t="shared" si="3"/>
        <v>0.12000000000000001</v>
      </c>
      <c r="B12" s="23">
        <f t="shared" si="1"/>
        <v>0.3511879500945787</v>
      </c>
      <c r="C12" s="23">
        <f t="shared" si="1"/>
        <v>8.2794590128648898E-4</v>
      </c>
      <c r="D12" s="23">
        <f t="shared" si="1"/>
        <v>3.197138066802735E-15</v>
      </c>
      <c r="P12" s="456">
        <f t="shared" si="4"/>
        <v>0.12000000000000001</v>
      </c>
      <c r="Q12" s="23">
        <f t="shared" si="2"/>
        <v>0.3511879500945787</v>
      </c>
      <c r="R12" s="23">
        <f t="shared" si="0"/>
        <v>8.27945901286488E-4</v>
      </c>
      <c r="S12" s="23">
        <f t="shared" si="0"/>
        <v>3.1971380668027587E-15</v>
      </c>
    </row>
    <row r="13" spans="1:21" x14ac:dyDescent="0.25">
      <c r="A13" s="456">
        <f t="shared" si="3"/>
        <v>0.14000000000000001</v>
      </c>
      <c r="B13" s="23">
        <f t="shared" si="1"/>
        <v>0.4124560770196698</v>
      </c>
      <c r="C13" s="23">
        <f t="shared" si="1"/>
        <v>2.5014667372129174E-3</v>
      </c>
      <c r="D13" s="23">
        <f t="shared" si="1"/>
        <v>4.230316365899739E-13</v>
      </c>
      <c r="P13" s="456">
        <f t="shared" si="4"/>
        <v>0.14000000000000001</v>
      </c>
      <c r="Q13" s="23">
        <f t="shared" si="2"/>
        <v>0.4124560770196698</v>
      </c>
      <c r="R13" s="23">
        <f t="shared" si="0"/>
        <v>2.5014667372129178E-3</v>
      </c>
      <c r="S13" s="23">
        <f t="shared" si="0"/>
        <v>4.2303163658997602E-13</v>
      </c>
    </row>
    <row r="14" spans="1:21" x14ac:dyDescent="0.25">
      <c r="A14" s="456">
        <f t="shared" si="3"/>
        <v>0.16</v>
      </c>
      <c r="B14" s="23">
        <f t="shared" si="1"/>
        <v>0.46508528570535723</v>
      </c>
      <c r="C14" s="23">
        <f t="shared" si="1"/>
        <v>6.0365686580179292E-3</v>
      </c>
      <c r="D14" s="23">
        <f t="shared" si="1"/>
        <v>2.1415604475463963E-11</v>
      </c>
      <c r="P14" s="456">
        <f t="shared" si="4"/>
        <v>0.16</v>
      </c>
      <c r="Q14" s="23">
        <f t="shared" si="2"/>
        <v>0.46508528570535734</v>
      </c>
      <c r="R14" s="23">
        <f t="shared" si="0"/>
        <v>6.0365686580179326E-3</v>
      </c>
      <c r="S14" s="23">
        <f t="shared" si="0"/>
        <v>2.1415604475463927E-11</v>
      </c>
    </row>
    <row r="15" spans="1:21" x14ac:dyDescent="0.25">
      <c r="A15" s="456">
        <f t="shared" si="3"/>
        <v>0.18</v>
      </c>
      <c r="B15" s="23">
        <f t="shared" si="1"/>
        <v>0.50945847576765035</v>
      </c>
      <c r="C15" s="23">
        <f t="shared" si="1"/>
        <v>1.2375207258254091E-2</v>
      </c>
      <c r="D15" s="23">
        <f t="shared" si="1"/>
        <v>5.3856391482890195E-10</v>
      </c>
      <c r="P15" s="456">
        <f t="shared" si="4"/>
        <v>0.18</v>
      </c>
      <c r="Q15" s="23">
        <f t="shared" si="2"/>
        <v>0.50945847576765058</v>
      </c>
      <c r="R15" s="23">
        <f t="shared" si="0"/>
        <v>1.2375207258254103E-2</v>
      </c>
      <c r="S15" s="23">
        <f t="shared" si="0"/>
        <v>5.3856391482890164E-10</v>
      </c>
    </row>
    <row r="16" spans="1:21" x14ac:dyDescent="0.25">
      <c r="A16" s="456">
        <f t="shared" si="3"/>
        <v>0.19999999999999998</v>
      </c>
      <c r="B16" s="23">
        <f t="shared" si="1"/>
        <v>0.54626787075817995</v>
      </c>
      <c r="C16" s="23">
        <f t="shared" si="1"/>
        <v>2.2439460776791577E-2</v>
      </c>
      <c r="D16" s="23">
        <f t="shared" si="1"/>
        <v>7.986370693270249E-9</v>
      </c>
      <c r="P16" s="456">
        <f t="shared" si="4"/>
        <v>0.19999999999999998</v>
      </c>
      <c r="Q16" s="23">
        <f t="shared" si="2"/>
        <v>0.54626787075817995</v>
      </c>
      <c r="R16" s="23">
        <f t="shared" si="0"/>
        <v>2.2439460776791587E-2</v>
      </c>
      <c r="S16" s="23">
        <f t="shared" si="0"/>
        <v>7.9863706932702804E-9</v>
      </c>
    </row>
    <row r="17" spans="1:19" x14ac:dyDescent="0.25">
      <c r="A17" s="456">
        <f t="shared" si="3"/>
        <v>0.21999999999999997</v>
      </c>
      <c r="B17" s="23">
        <f t="shared" si="1"/>
        <v>0.57631424896619887</v>
      </c>
      <c r="C17" s="23">
        <f t="shared" si="1"/>
        <v>3.7000302102007512E-2</v>
      </c>
      <c r="D17" s="23">
        <f t="shared" si="1"/>
        <v>7.8577631446879537E-8</v>
      </c>
      <c r="P17" s="456">
        <f t="shared" si="4"/>
        <v>0.21999999999999997</v>
      </c>
      <c r="Q17" s="23">
        <f t="shared" si="2"/>
        <v>0.57631424896619898</v>
      </c>
      <c r="R17" s="23">
        <f t="shared" si="0"/>
        <v>3.7000302102007526E-2</v>
      </c>
      <c r="S17" s="23">
        <f t="shared" si="0"/>
        <v>7.8577631446879974E-8</v>
      </c>
    </row>
    <row r="18" spans="1:19" x14ac:dyDescent="0.25">
      <c r="A18" s="456">
        <f t="shared" si="3"/>
        <v>0.23999999999999996</v>
      </c>
      <c r="B18" s="23">
        <f t="shared" si="1"/>
        <v>0.60040387582896459</v>
      </c>
      <c r="C18" s="23">
        <f t="shared" si="1"/>
        <v>5.6585801503254075E-2</v>
      </c>
      <c r="D18" s="23">
        <f t="shared" si="1"/>
        <v>5.5805039962821021E-7</v>
      </c>
      <c r="P18" s="456">
        <f t="shared" si="4"/>
        <v>0.23999999999999996</v>
      </c>
      <c r="Q18" s="23">
        <f t="shared" si="2"/>
        <v>0.60040387582896482</v>
      </c>
      <c r="R18" s="23">
        <f t="shared" si="0"/>
        <v>5.6585801503254145E-2</v>
      </c>
      <c r="S18" s="23">
        <f t="shared" si="0"/>
        <v>5.5805039962820883E-7</v>
      </c>
    </row>
    <row r="19" spans="1:19" x14ac:dyDescent="0.25">
      <c r="A19" s="456">
        <f t="shared" si="3"/>
        <v>0.25999999999999995</v>
      </c>
      <c r="B19" s="23">
        <f t="shared" si="1"/>
        <v>0.61929806733927673</v>
      </c>
      <c r="C19" s="23">
        <f t="shared" si="1"/>
        <v>8.1436432632297537E-2</v>
      </c>
      <c r="D19" s="23">
        <f t="shared" si="1"/>
        <v>3.0437208459722573E-6</v>
      </c>
      <c r="P19" s="456">
        <f t="shared" si="4"/>
        <v>0.25999999999999995</v>
      </c>
      <c r="Q19" s="23">
        <f t="shared" si="2"/>
        <v>0.61929806733927673</v>
      </c>
      <c r="R19" s="23">
        <f t="shared" si="0"/>
        <v>8.1436432632297565E-2</v>
      </c>
      <c r="S19" s="23">
        <f t="shared" si="0"/>
        <v>3.0437208459722493E-6</v>
      </c>
    </row>
    <row r="20" spans="1:19" x14ac:dyDescent="0.25">
      <c r="A20" s="456">
        <f t="shared" si="3"/>
        <v>0.27999999999999997</v>
      </c>
      <c r="B20" s="23">
        <f t="shared" si="1"/>
        <v>0.63369110251016258</v>
      </c>
      <c r="C20" s="23">
        <f t="shared" si="1"/>
        <v>0.11150242934995283</v>
      </c>
      <c r="D20" s="23">
        <f t="shared" si="1"/>
        <v>1.3360454237057703E-5</v>
      </c>
      <c r="P20" s="456">
        <f t="shared" si="4"/>
        <v>0.27999999999999997</v>
      </c>
      <c r="Q20" s="23">
        <f t="shared" si="2"/>
        <v>0.6336911025101627</v>
      </c>
      <c r="R20" s="23">
        <f t="shared" si="0"/>
        <v>0.11150242934995279</v>
      </c>
      <c r="S20" s="23">
        <f t="shared" si="0"/>
        <v>1.3360454237057682E-5</v>
      </c>
    </row>
    <row r="21" spans="1:19" x14ac:dyDescent="0.25">
      <c r="A21" s="456">
        <f t="shared" si="3"/>
        <v>0.3</v>
      </c>
      <c r="B21" s="23">
        <f t="shared" si="1"/>
        <v>0.64420325735919959</v>
      </c>
      <c r="C21" s="23">
        <f t="shared" si="1"/>
        <v>0.14647220793767599</v>
      </c>
      <c r="D21" s="23">
        <f t="shared" si="1"/>
        <v>4.893217138801079E-5</v>
      </c>
      <c r="P21" s="456">
        <f t="shared" si="4"/>
        <v>0.3</v>
      </c>
      <c r="Q21" s="23">
        <f t="shared" si="2"/>
        <v>0.64420325735919959</v>
      </c>
      <c r="R21" s="23">
        <f t="shared" si="0"/>
        <v>0.14647220793767593</v>
      </c>
      <c r="S21" s="23">
        <f t="shared" si="0"/>
        <v>4.8932171388010749E-5</v>
      </c>
    </row>
    <row r="22" spans="1:19" x14ac:dyDescent="0.25">
      <c r="A22" s="456">
        <f t="shared" si="3"/>
        <v>0.32</v>
      </c>
      <c r="B22" s="23">
        <f t="shared" si="1"/>
        <v>0.65138169153415948</v>
      </c>
      <c r="C22" s="23">
        <f t="shared" si="1"/>
        <v>0.18581977235254854</v>
      </c>
      <c r="D22" s="23">
        <f t="shared" si="1"/>
        <v>1.5382518317514092E-4</v>
      </c>
      <c r="P22" s="456">
        <f t="shared" si="4"/>
        <v>0.32</v>
      </c>
      <c r="Q22" s="23">
        <f t="shared" si="2"/>
        <v>0.65138169153415948</v>
      </c>
      <c r="R22" s="23">
        <f t="shared" si="0"/>
        <v>0.18581977235254848</v>
      </c>
      <c r="S22" s="23">
        <f t="shared" si="0"/>
        <v>1.5382518317514068E-4</v>
      </c>
    </row>
    <row r="23" spans="1:19" x14ac:dyDescent="0.25">
      <c r="A23" s="456">
        <f t="shared" si="3"/>
        <v>0.34</v>
      </c>
      <c r="B23" s="23">
        <f t="shared" si="1"/>
        <v>0.65570517817849605</v>
      </c>
      <c r="C23" s="23">
        <f t="shared" si="1"/>
        <v>0.22886058448193725</v>
      </c>
      <c r="D23" s="23">
        <f t="shared" si="1"/>
        <v>4.2455168930933878E-4</v>
      </c>
      <c r="P23" s="456">
        <f t="shared" si="4"/>
        <v>0.34</v>
      </c>
      <c r="Q23" s="23">
        <f t="shared" si="2"/>
        <v>0.65570517817849616</v>
      </c>
      <c r="R23" s="23">
        <f t="shared" si="2"/>
        <v>0.22886058448193722</v>
      </c>
      <c r="S23" s="23">
        <f t="shared" si="2"/>
        <v>4.2455168930933862E-4</v>
      </c>
    </row>
    <row r="24" spans="1:19" x14ac:dyDescent="0.25">
      <c r="A24" s="456">
        <f t="shared" si="3"/>
        <v>0.36000000000000004</v>
      </c>
      <c r="B24" s="23">
        <f t="shared" ref="B24:D87" si="5">_xlfn.LOGNORM.DIST($A24,B$3,B$4,FALSE)</f>
        <v>0.65759047392786507</v>
      </c>
      <c r="C24" s="23">
        <f t="shared" si="5"/>
        <v>0.27480798864936479</v>
      </c>
      <c r="D24" s="23">
        <f t="shared" si="5"/>
        <v>1.0476946529544538E-3</v>
      </c>
      <c r="P24" s="456">
        <f t="shared" si="4"/>
        <v>0.36000000000000004</v>
      </c>
      <c r="Q24" s="23">
        <f t="shared" si="2"/>
        <v>0.65759047392786518</v>
      </c>
      <c r="R24" s="23">
        <f t="shared" si="2"/>
        <v>0.27480798864936468</v>
      </c>
      <c r="S24" s="23">
        <f t="shared" si="2"/>
        <v>1.0476946529544547E-3</v>
      </c>
    </row>
    <row r="25" spans="1:19" x14ac:dyDescent="0.25">
      <c r="A25" s="456">
        <f t="shared" si="3"/>
        <v>0.38000000000000006</v>
      </c>
      <c r="B25" s="23">
        <f t="shared" si="5"/>
        <v>0.65739913674932837</v>
      </c>
      <c r="C25" s="23">
        <f t="shared" si="5"/>
        <v>0.32282496000610894</v>
      </c>
      <c r="D25" s="23">
        <f t="shared" si="5"/>
        <v>2.3465457428639516E-3</v>
      </c>
      <c r="P25" s="456">
        <f t="shared" si="4"/>
        <v>0.38000000000000006</v>
      </c>
      <c r="Q25" s="23">
        <f t="shared" si="2"/>
        <v>0.65739913674932848</v>
      </c>
      <c r="R25" s="23">
        <f t="shared" si="2"/>
        <v>0.32282496000610889</v>
      </c>
      <c r="S25" s="23">
        <f t="shared" si="2"/>
        <v>2.3465457428639529E-3</v>
      </c>
    </row>
    <row r="26" spans="1:19" x14ac:dyDescent="0.25">
      <c r="A26" s="456">
        <f t="shared" si="3"/>
        <v>0.40000000000000008</v>
      </c>
      <c r="B26" s="23">
        <f t="shared" si="5"/>
        <v>0.65544416806031136</v>
      </c>
      <c r="C26" s="23">
        <f t="shared" si="5"/>
        <v>0.37206822856428612</v>
      </c>
      <c r="D26" s="23">
        <f t="shared" si="5"/>
        <v>4.8292549264143626E-3</v>
      </c>
      <c r="P26" s="456">
        <f t="shared" si="4"/>
        <v>0.40000000000000008</v>
      </c>
      <c r="Q26" s="23">
        <f t="shared" si="2"/>
        <v>0.65544416806031158</v>
      </c>
      <c r="R26" s="23">
        <f t="shared" si="2"/>
        <v>0.37206822856428606</v>
      </c>
      <c r="S26" s="23">
        <f t="shared" si="2"/>
        <v>4.8292549264143626E-3</v>
      </c>
    </row>
    <row r="27" spans="1:19" x14ac:dyDescent="0.25">
      <c r="A27" s="456">
        <f t="shared" si="3"/>
        <v>0.4200000000000001</v>
      </c>
      <c r="B27" s="23">
        <f t="shared" si="5"/>
        <v>0.65199617542585231</v>
      </c>
      <c r="C27" s="23">
        <f t="shared" si="5"/>
        <v>0.42172355823422181</v>
      </c>
      <c r="D27" s="23">
        <f t="shared" si="5"/>
        <v>9.2271829387286057E-3</v>
      </c>
      <c r="P27" s="456">
        <f t="shared" si="4"/>
        <v>0.4200000000000001</v>
      </c>
      <c r="Q27" s="23">
        <f t="shared" si="2"/>
        <v>0.65199617542585231</v>
      </c>
      <c r="R27" s="23">
        <f t="shared" si="2"/>
        <v>0.42172355823422186</v>
      </c>
      <c r="S27" s="23">
        <f t="shared" si="2"/>
        <v>9.2271829387286074E-3</v>
      </c>
    </row>
    <row r="28" spans="1:19" x14ac:dyDescent="0.25">
      <c r="A28" s="456">
        <f t="shared" si="3"/>
        <v>0.44000000000000011</v>
      </c>
      <c r="B28" s="23">
        <f t="shared" si="5"/>
        <v>0.647288930525038</v>
      </c>
      <c r="C28" s="23">
        <f t="shared" si="5"/>
        <v>0.4710321471470727</v>
      </c>
      <c r="D28" s="23">
        <f t="shared" si="5"/>
        <v>1.6510872841063257E-2</v>
      </c>
      <c r="P28" s="456">
        <f t="shared" si="4"/>
        <v>0.44000000000000011</v>
      </c>
      <c r="Q28" s="23">
        <f t="shared" si="2"/>
        <v>0.64728893052503822</v>
      </c>
      <c r="R28" s="23">
        <f t="shared" si="2"/>
        <v>0.47103214714707281</v>
      </c>
      <c r="S28" s="23">
        <f t="shared" si="2"/>
        <v>1.651087284106325E-2</v>
      </c>
    </row>
    <row r="29" spans="1:19" x14ac:dyDescent="0.25">
      <c r="A29" s="456">
        <f t="shared" si="3"/>
        <v>0.46000000000000013</v>
      </c>
      <c r="B29" s="23">
        <f t="shared" si="5"/>
        <v>0.64152429455280824</v>
      </c>
      <c r="C29" s="23">
        <f t="shared" si="5"/>
        <v>0.5193088505804011</v>
      </c>
      <c r="D29" s="23">
        <f t="shared" si="5"/>
        <v>2.7873159732338389E-2</v>
      </c>
      <c r="P29" s="456">
        <f t="shared" si="4"/>
        <v>0.46000000000000013</v>
      </c>
      <c r="Q29" s="23">
        <f t="shared" si="2"/>
        <v>0.64152429455280824</v>
      </c>
      <c r="R29" s="23">
        <f t="shared" si="2"/>
        <v>0.5193088505804011</v>
      </c>
      <c r="S29" s="23">
        <f t="shared" si="2"/>
        <v>2.7873159732338417E-2</v>
      </c>
    </row>
    <row r="30" spans="1:19" x14ac:dyDescent="0.25">
      <c r="A30" s="456">
        <f t="shared" si="3"/>
        <v>0.48000000000000015</v>
      </c>
      <c r="B30" s="23">
        <f t="shared" si="5"/>
        <v>0.63487653433747093</v>
      </c>
      <c r="C30" s="23">
        <f t="shared" si="5"/>
        <v>0.56595332010072097</v>
      </c>
      <c r="D30" s="23">
        <f t="shared" si="5"/>
        <v>4.4674116390347525E-2</v>
      </c>
      <c r="P30" s="456">
        <f t="shared" si="4"/>
        <v>0.48000000000000015</v>
      </c>
      <c r="Q30" s="23">
        <f t="shared" si="2"/>
        <v>0.63487653433747093</v>
      </c>
      <c r="R30" s="23">
        <f t="shared" si="2"/>
        <v>0.56595332010072119</v>
      </c>
      <c r="S30" s="23">
        <f t="shared" si="2"/>
        <v>4.467411639034749E-2</v>
      </c>
    </row>
    <row r="31" spans="1:19" x14ac:dyDescent="0.25">
      <c r="A31" s="456">
        <f t="shared" si="3"/>
        <v>0.50000000000000011</v>
      </c>
      <c r="B31" s="23">
        <f t="shared" si="5"/>
        <v>0.62749607711592414</v>
      </c>
      <c r="C31" s="23">
        <f t="shared" si="5"/>
        <v>0.61045530419018312</v>
      </c>
      <c r="D31" s="23">
        <f t="shared" si="5"/>
        <v>6.8349495096432261E-2</v>
      </c>
      <c r="P31" s="456">
        <f t="shared" si="4"/>
        <v>0.50000000000000011</v>
      </c>
      <c r="Q31" s="23">
        <f t="shared" si="2"/>
        <v>0.62749607711592437</v>
      </c>
      <c r="R31" s="23">
        <f t="shared" si="2"/>
        <v>0.61045530419018335</v>
      </c>
      <c r="S31" s="23">
        <f t="shared" si="2"/>
        <v>6.8349495096432303E-2</v>
      </c>
    </row>
    <row r="32" spans="1:19" x14ac:dyDescent="0.25">
      <c r="A32" s="456">
        <f t="shared" si="3"/>
        <v>0.52000000000000013</v>
      </c>
      <c r="B32" s="23">
        <f t="shared" si="5"/>
        <v>0.61951276166259928</v>
      </c>
      <c r="C32" s="23">
        <f t="shared" si="5"/>
        <v>0.65239535065358389</v>
      </c>
      <c r="D32" s="23">
        <f t="shared" si="5"/>
        <v>0.10029130247511235</v>
      </c>
      <c r="P32" s="456">
        <f t="shared" si="4"/>
        <v>0.52000000000000013</v>
      </c>
      <c r="Q32" s="23">
        <f t="shared" si="2"/>
        <v>0.61951276166259939</v>
      </c>
      <c r="R32" s="23">
        <f t="shared" si="2"/>
        <v>0.65239535065358401</v>
      </c>
      <c r="S32" s="23">
        <f t="shared" si="2"/>
        <v>0.10029130247511228</v>
      </c>
    </row>
    <row r="33" spans="1:19" x14ac:dyDescent="0.25">
      <c r="A33" s="456">
        <f t="shared" si="3"/>
        <v>0.54000000000000015</v>
      </c>
      <c r="B33" s="23">
        <f t="shared" si="5"/>
        <v>0.61103864502950533</v>
      </c>
      <c r="C33" s="23">
        <f t="shared" si="5"/>
        <v>0.69144205322084518</v>
      </c>
      <c r="D33" s="23">
        <f t="shared" si="5"/>
        <v>0.1417144870546308</v>
      </c>
      <c r="P33" s="456">
        <f t="shared" si="4"/>
        <v>0.54000000000000015</v>
      </c>
      <c r="Q33" s="23">
        <f t="shared" si="2"/>
        <v>0.61103864502950545</v>
      </c>
      <c r="R33" s="23">
        <f t="shared" si="2"/>
        <v>0.69144205322084529</v>
      </c>
      <c r="S33" s="23">
        <f t="shared" si="2"/>
        <v>0.14171448705463083</v>
      </c>
    </row>
    <row r="34" spans="1:19" x14ac:dyDescent="0.25">
      <c r="A34" s="456">
        <f t="shared" si="3"/>
        <v>0.56000000000000016</v>
      </c>
      <c r="B34" s="23">
        <f t="shared" si="5"/>
        <v>0.60217042142366572</v>
      </c>
      <c r="C34" s="23">
        <f t="shared" si="5"/>
        <v>0.7273468393046123</v>
      </c>
      <c r="D34" s="23">
        <f t="shared" si="5"/>
        <v>0.19352635459467368</v>
      </c>
      <c r="P34" s="456">
        <f t="shared" si="4"/>
        <v>0.56000000000000016</v>
      </c>
      <c r="Q34" s="23">
        <f t="shared" si="2"/>
        <v>0.60217042142366606</v>
      </c>
      <c r="R34" s="23">
        <f t="shared" si="2"/>
        <v>0.72734683930461241</v>
      </c>
      <c r="S34" s="23">
        <f t="shared" si="2"/>
        <v>0.19352635459467382</v>
      </c>
    </row>
    <row r="35" spans="1:19" x14ac:dyDescent="0.25">
      <c r="A35" s="456">
        <f t="shared" si="3"/>
        <v>0.58000000000000018</v>
      </c>
      <c r="B35" s="23">
        <f t="shared" si="5"/>
        <v>0.59299150497357256</v>
      </c>
      <c r="C35" s="23">
        <f t="shared" si="5"/>
        <v>0.75993713324902312</v>
      </c>
      <c r="D35" s="23">
        <f t="shared" si="5"/>
        <v>0.25621494395645905</v>
      </c>
      <c r="P35" s="456">
        <f t="shared" si="4"/>
        <v>0.58000000000000018</v>
      </c>
      <c r="Q35" s="23">
        <f t="shared" si="2"/>
        <v>0.59299150497357267</v>
      </c>
      <c r="R35" s="23">
        <f t="shared" si="2"/>
        <v>0.75993713324902323</v>
      </c>
      <c r="S35" s="23">
        <f t="shared" si="2"/>
        <v>0.25621494395645911</v>
      </c>
    </row>
    <row r="36" spans="1:19" x14ac:dyDescent="0.25">
      <c r="A36" s="456">
        <f t="shared" si="3"/>
        <v>0.6000000000000002</v>
      </c>
      <c r="B36" s="23">
        <f t="shared" si="5"/>
        <v>0.58357382259450385</v>
      </c>
      <c r="C36" s="23">
        <f t="shared" si="5"/>
        <v>0.78910856871343826</v>
      </c>
      <c r="D36" s="23">
        <f t="shared" si="5"/>
        <v>0.32976958637923814</v>
      </c>
      <c r="P36" s="456">
        <f t="shared" si="4"/>
        <v>0.6000000000000002</v>
      </c>
      <c r="Q36" s="23">
        <f t="shared" si="2"/>
        <v>0.58357382259450385</v>
      </c>
      <c r="R36" s="23">
        <f t="shared" si="2"/>
        <v>0.78910856871343837</v>
      </c>
      <c r="S36" s="23">
        <f t="shared" si="2"/>
        <v>0.32976958637923814</v>
      </c>
    </row>
    <row r="37" spans="1:19" x14ac:dyDescent="0.25">
      <c r="A37" s="456">
        <f t="shared" si="3"/>
        <v>0.62000000000000022</v>
      </c>
      <c r="B37" s="23">
        <f t="shared" si="5"/>
        <v>0.5739793575571176</v>
      </c>
      <c r="C37" s="23">
        <f t="shared" si="5"/>
        <v>0.81481677605839054</v>
      </c>
      <c r="D37" s="23">
        <f t="shared" si="5"/>
        <v>0.41364209370945593</v>
      </c>
      <c r="P37" s="456">
        <f t="shared" si="4"/>
        <v>0.62000000000000022</v>
      </c>
      <c r="Q37" s="23">
        <f t="shared" si="2"/>
        <v>0.57397935755711771</v>
      </c>
      <c r="R37" s="23">
        <f t="shared" si="2"/>
        <v>0.81481677605839065</v>
      </c>
      <c r="S37" s="23">
        <f t="shared" si="2"/>
        <v>0.41364209370945609</v>
      </c>
    </row>
    <row r="38" spans="1:19" x14ac:dyDescent="0.25">
      <c r="A38" s="456">
        <f t="shared" si="3"/>
        <v>0.64000000000000024</v>
      </c>
      <c r="B38" s="23">
        <f t="shared" si="5"/>
        <v>0.5642614790619036</v>
      </c>
      <c r="C38" s="23">
        <f t="shared" si="5"/>
        <v>0.83706914117437314</v>
      </c>
      <c r="D38" s="23">
        <f t="shared" si="5"/>
        <v>0.50675152046203076</v>
      </c>
      <c r="P38" s="456">
        <f t="shared" si="4"/>
        <v>0.64000000000000024</v>
      </c>
      <c r="Q38" s="23">
        <f t="shared" si="2"/>
        <v>0.56426147906190371</v>
      </c>
      <c r="R38" s="23">
        <f t="shared" si="2"/>
        <v>0.83706914117437325</v>
      </c>
      <c r="S38" s="23">
        <f t="shared" si="2"/>
        <v>0.50675152046203087</v>
      </c>
    </row>
    <row r="39" spans="1:19" x14ac:dyDescent="0.25">
      <c r="A39" s="456">
        <f t="shared" si="3"/>
        <v>0.66000000000000025</v>
      </c>
      <c r="B39" s="23">
        <f t="shared" si="5"/>
        <v>0.55446608829575894</v>
      </c>
      <c r="C39" s="23">
        <f t="shared" si="5"/>
        <v>0.85591682293990412</v>
      </c>
      <c r="D39" s="23">
        <f t="shared" si="5"/>
        <v>0.60753019488488624</v>
      </c>
      <c r="P39" s="456">
        <f t="shared" si="4"/>
        <v>0.66000000000000025</v>
      </c>
      <c r="Q39" s="23">
        <f t="shared" si="2"/>
        <v>0.55446608829575894</v>
      </c>
      <c r="R39" s="23">
        <f t="shared" si="2"/>
        <v>0.85591682293990412</v>
      </c>
      <c r="S39" s="23">
        <f t="shared" si="2"/>
        <v>0.60753019488488624</v>
      </c>
    </row>
    <row r="40" spans="1:19" x14ac:dyDescent="0.25">
      <c r="A40" s="456">
        <f t="shared" si="3"/>
        <v>0.68000000000000027</v>
      </c>
      <c r="B40" s="23">
        <f t="shared" si="5"/>
        <v>0.54463260715663153</v>
      </c>
      <c r="C40" s="23">
        <f t="shared" si="5"/>
        <v>0.87144722702401534</v>
      </c>
      <c r="D40" s="23">
        <f t="shared" si="5"/>
        <v>0.71400445003409097</v>
      </c>
      <c r="P40" s="456">
        <f t="shared" si="4"/>
        <v>0.68000000000000027</v>
      </c>
      <c r="Q40" s="23">
        <f t="shared" ref="Q40:S71" si="6">NORMDIST(LN($A40),Q$3,Q$4,FALSE)/$P40</f>
        <v>0.54463260715663153</v>
      </c>
      <c r="R40" s="23">
        <f t="shared" si="6"/>
        <v>0.87144722702401545</v>
      </c>
      <c r="S40" s="23">
        <f t="shared" si="6"/>
        <v>0.71400445003409108</v>
      </c>
    </row>
    <row r="41" spans="1:19" x14ac:dyDescent="0.25">
      <c r="A41" s="456">
        <f t="shared" si="3"/>
        <v>0.70000000000000029</v>
      </c>
      <c r="B41" s="23">
        <f t="shared" si="5"/>
        <v>0.53479483207691969</v>
      </c>
      <c r="C41" s="23">
        <f t="shared" si="5"/>
        <v>0.88377706242829857</v>
      </c>
      <c r="D41" s="23">
        <f t="shared" si="5"/>
        <v>0.82390062817864351</v>
      </c>
      <c r="P41" s="456">
        <f t="shared" si="4"/>
        <v>0.70000000000000029</v>
      </c>
      <c r="Q41" s="23">
        <f t="shared" si="6"/>
        <v>0.53479483207691958</v>
      </c>
      <c r="R41" s="23">
        <f t="shared" si="6"/>
        <v>0.88377706242829857</v>
      </c>
      <c r="S41" s="23">
        <f t="shared" si="6"/>
        <v>0.82390062817864362</v>
      </c>
    </row>
    <row r="42" spans="1:19" x14ac:dyDescent="0.25">
      <c r="A42" s="456">
        <f t="shared" si="3"/>
        <v>0.72000000000000031</v>
      </c>
      <c r="B42" s="23">
        <f t="shared" si="5"/>
        <v>0.52498167212330105</v>
      </c>
      <c r="C42" s="23">
        <f t="shared" si="5"/>
        <v>0.89304605176735719</v>
      </c>
      <c r="D42" s="23">
        <f t="shared" si="5"/>
        <v>0.93476559538208881</v>
      </c>
      <c r="P42" s="456">
        <f t="shared" si="4"/>
        <v>0.72000000000000031</v>
      </c>
      <c r="Q42" s="23">
        <f t="shared" si="6"/>
        <v>0.52498167212330127</v>
      </c>
      <c r="R42" s="23">
        <f t="shared" si="6"/>
        <v>0.8930460517673573</v>
      </c>
      <c r="S42" s="23">
        <f t="shared" si="6"/>
        <v>0.93476559538208881</v>
      </c>
    </row>
    <row r="43" spans="1:19" x14ac:dyDescent="0.25">
      <c r="A43" s="456">
        <f t="shared" si="3"/>
        <v>0.74000000000000032</v>
      </c>
      <c r="B43" s="23">
        <f t="shared" si="5"/>
        <v>0.51521778775245919</v>
      </c>
      <c r="C43" s="23">
        <f t="shared" si="5"/>
        <v>0.89941132440220872</v>
      </c>
      <c r="D43" s="23">
        <f t="shared" si="5"/>
        <v>1.0440910575117184</v>
      </c>
      <c r="P43" s="456">
        <f t="shared" si="4"/>
        <v>0.74000000000000032</v>
      </c>
      <c r="Q43" s="23">
        <f t="shared" si="6"/>
        <v>0.5152177877524593</v>
      </c>
      <c r="R43" s="23">
        <f t="shared" si="6"/>
        <v>0.89941132440220883</v>
      </c>
      <c r="S43" s="23">
        <f t="shared" si="6"/>
        <v>1.0440910575117186</v>
      </c>
    </row>
    <row r="44" spans="1:19" x14ac:dyDescent="0.25">
      <c r="A44" s="456">
        <f t="shared" si="3"/>
        <v>0.76000000000000034</v>
      </c>
      <c r="B44" s="23">
        <f t="shared" si="5"/>
        <v>0.5055241442065842</v>
      </c>
      <c r="C44" s="23">
        <f t="shared" si="5"/>
        <v>0.90304249082011812</v>
      </c>
      <c r="D44" s="23">
        <f t="shared" si="5"/>
        <v>1.1494321242198935</v>
      </c>
      <c r="P44" s="456">
        <f t="shared" si="4"/>
        <v>0.76000000000000034</v>
      </c>
      <c r="Q44" s="23">
        <f t="shared" si="6"/>
        <v>0.50552414420658431</v>
      </c>
      <c r="R44" s="23">
        <f t="shared" si="6"/>
        <v>0.90304249082011812</v>
      </c>
      <c r="S44" s="23">
        <f t="shared" si="6"/>
        <v>1.1494321242198937</v>
      </c>
    </row>
    <row r="45" spans="1:19" x14ac:dyDescent="0.25">
      <c r="A45" s="456">
        <f t="shared" si="3"/>
        <v>0.78000000000000036</v>
      </c>
      <c r="B45" s="23">
        <f t="shared" si="5"/>
        <v>0.49591849148807721</v>
      </c>
      <c r="C45" s="23">
        <f t="shared" si="5"/>
        <v>0.90411737494708933</v>
      </c>
      <c r="D45" s="23">
        <f t="shared" si="5"/>
        <v>1.2485124600426885</v>
      </c>
      <c r="P45" s="456">
        <f t="shared" si="4"/>
        <v>0.78000000000000036</v>
      </c>
      <c r="Q45" s="23">
        <f t="shared" si="6"/>
        <v>0.49591849148807737</v>
      </c>
      <c r="R45" s="23">
        <f t="shared" si="6"/>
        <v>0.90411737494708933</v>
      </c>
      <c r="S45" s="23">
        <f t="shared" si="6"/>
        <v>1.2485124600426887</v>
      </c>
    </row>
    <row r="46" spans="1:19" x14ac:dyDescent="0.25">
      <c r="A46" s="456">
        <f t="shared" si="3"/>
        <v>0.80000000000000038</v>
      </c>
      <c r="B46" s="23">
        <f t="shared" si="5"/>
        <v>0.48641578111155326</v>
      </c>
      <c r="C46" s="23">
        <f t="shared" si="5"/>
        <v>0.9028183664990459</v>
      </c>
      <c r="D46" s="23">
        <f t="shared" si="5"/>
        <v>1.3393106258789982</v>
      </c>
      <c r="P46" s="456">
        <f t="shared" si="4"/>
        <v>0.80000000000000038</v>
      </c>
      <c r="Q46" s="23">
        <f t="shared" si="6"/>
        <v>0.48641578111155331</v>
      </c>
      <c r="R46" s="23">
        <f t="shared" si="6"/>
        <v>0.90281836649904601</v>
      </c>
      <c r="S46" s="23">
        <f t="shared" si="6"/>
        <v>1.3393106258789984</v>
      </c>
    </row>
    <row r="47" spans="1:19" x14ac:dyDescent="0.25">
      <c r="A47" s="456">
        <f t="shared" si="3"/>
        <v>0.8200000000000004</v>
      </c>
      <c r="B47" s="23">
        <f t="shared" si="5"/>
        <v>0.47702852834978932</v>
      </c>
      <c r="C47" s="23">
        <f t="shared" si="5"/>
        <v>0.89932934641845674</v>
      </c>
      <c r="D47" s="23">
        <f t="shared" si="5"/>
        <v>1.4201245314840039</v>
      </c>
      <c r="P47" s="456">
        <f t="shared" si="4"/>
        <v>0.8200000000000004</v>
      </c>
      <c r="Q47" s="23">
        <f t="shared" si="6"/>
        <v>0.47702852834978932</v>
      </c>
      <c r="R47" s="23">
        <f t="shared" si="6"/>
        <v>0.89932934641845674</v>
      </c>
      <c r="S47" s="23">
        <f t="shared" si="6"/>
        <v>1.4201245314840039</v>
      </c>
    </row>
    <row r="48" spans="1:19" x14ac:dyDescent="0.25">
      <c r="A48" s="456">
        <f t="shared" si="3"/>
        <v>0.84000000000000041</v>
      </c>
      <c r="B48" s="23">
        <f t="shared" si="5"/>
        <v>0.46776712743054721</v>
      </c>
      <c r="C48" s="23">
        <f t="shared" si="5"/>
        <v>0.89383313357018956</v>
      </c>
      <c r="D48" s="23">
        <f t="shared" si="5"/>
        <v>1.4896130469399078</v>
      </c>
      <c r="P48" s="456">
        <f t="shared" si="4"/>
        <v>0.84000000000000041</v>
      </c>
      <c r="Q48" s="23">
        <f t="shared" si="6"/>
        <v>0.46776712743054738</v>
      </c>
      <c r="R48" s="23">
        <f t="shared" si="6"/>
        <v>0.89383313357018979</v>
      </c>
      <c r="S48" s="23">
        <f t="shared" si="6"/>
        <v>1.489613046939908</v>
      </c>
    </row>
    <row r="49" spans="1:19" x14ac:dyDescent="0.25">
      <c r="A49" s="456">
        <f t="shared" si="3"/>
        <v>0.86000000000000043</v>
      </c>
      <c r="B49" s="23">
        <f t="shared" si="5"/>
        <v>0.45864012607005178</v>
      </c>
      <c r="C49" s="23">
        <f t="shared" si="5"/>
        <v>0.88650939909688498</v>
      </c>
      <c r="D49" s="23">
        <f t="shared" si="5"/>
        <v>1.5468155985600074</v>
      </c>
      <c r="P49" s="456">
        <f t="shared" si="4"/>
        <v>0.86000000000000043</v>
      </c>
      <c r="Q49" s="23">
        <f t="shared" si="6"/>
        <v>0.45864012607005178</v>
      </c>
      <c r="R49" s="23">
        <f t="shared" si="6"/>
        <v>0.88650939909688498</v>
      </c>
      <c r="S49" s="23">
        <f t="shared" si="6"/>
        <v>1.5468155985600076</v>
      </c>
    </row>
    <row r="50" spans="1:19" x14ac:dyDescent="0.25">
      <c r="A50" s="456">
        <f t="shared" si="3"/>
        <v>0.88000000000000045</v>
      </c>
      <c r="B50" s="23">
        <f t="shared" si="5"/>
        <v>0.44965446481780924</v>
      </c>
      <c r="C50" s="23">
        <f t="shared" si="5"/>
        <v>0.87753299529082218</v>
      </c>
      <c r="D50" s="23">
        <f t="shared" si="5"/>
        <v>1.5911519208597973</v>
      </c>
      <c r="P50" s="456">
        <f t="shared" si="4"/>
        <v>0.88000000000000045</v>
      </c>
      <c r="Q50" s="23">
        <f t="shared" si="6"/>
        <v>0.4496544648178093</v>
      </c>
      <c r="R50" s="23">
        <f t="shared" si="6"/>
        <v>0.8775329952908224</v>
      </c>
      <c r="S50" s="23">
        <f t="shared" si="6"/>
        <v>1.591151920859798</v>
      </c>
    </row>
    <row r="51" spans="1:19" x14ac:dyDescent="0.25">
      <c r="A51" s="456">
        <f t="shared" si="3"/>
        <v>0.90000000000000047</v>
      </c>
      <c r="B51" s="23">
        <f t="shared" si="5"/>
        <v>0.44081568591202647</v>
      </c>
      <c r="C51" s="23">
        <f t="shared" si="5"/>
        <v>0.8670726478423405</v>
      </c>
      <c r="D51" s="23">
        <f t="shared" si="5"/>
        <v>1.6224050344461871</v>
      </c>
      <c r="P51" s="456">
        <f t="shared" si="4"/>
        <v>0.90000000000000047</v>
      </c>
      <c r="Q51" s="23">
        <f t="shared" si="6"/>
        <v>0.44081568591202647</v>
      </c>
      <c r="R51" s="23">
        <f t="shared" si="6"/>
        <v>0.86707264784234062</v>
      </c>
      <c r="S51" s="23">
        <f t="shared" si="6"/>
        <v>1.6224050344461873</v>
      </c>
    </row>
    <row r="52" spans="1:19" x14ac:dyDescent="0.25">
      <c r="A52" s="456">
        <f t="shared" si="3"/>
        <v>0.92000000000000048</v>
      </c>
      <c r="B52" s="23">
        <f t="shared" si="5"/>
        <v>0.43212811568437776</v>
      </c>
      <c r="C52" s="23">
        <f t="shared" si="5"/>
        <v>0.85528996334534158</v>
      </c>
      <c r="D52" s="23">
        <f t="shared" si="5"/>
        <v>1.6406910010172568</v>
      </c>
      <c r="P52" s="456">
        <f t="shared" si="4"/>
        <v>0.92000000000000048</v>
      </c>
      <c r="Q52" s="23">
        <f t="shared" si="6"/>
        <v>0.43212811568437781</v>
      </c>
      <c r="R52" s="23">
        <f t="shared" si="6"/>
        <v>0.85528996334534158</v>
      </c>
      <c r="S52" s="23">
        <f t="shared" si="6"/>
        <v>1.6406910010172575</v>
      </c>
    </row>
    <row r="53" spans="1:19" x14ac:dyDescent="0.25">
      <c r="A53" s="456">
        <f t="shared" si="3"/>
        <v>0.9400000000000005</v>
      </c>
      <c r="B53" s="23">
        <f t="shared" si="5"/>
        <v>0.42359502398971699</v>
      </c>
      <c r="C53" s="23">
        <f t="shared" si="5"/>
        <v>0.84233870757601093</v>
      </c>
      <c r="D53" s="23">
        <f t="shared" si="5"/>
        <v>1.6464191326842834</v>
      </c>
      <c r="P53" s="456">
        <f t="shared" si="4"/>
        <v>0.9400000000000005</v>
      </c>
      <c r="Q53" s="23">
        <f t="shared" si="6"/>
        <v>0.42359502398971705</v>
      </c>
      <c r="R53" s="23">
        <f t="shared" si="6"/>
        <v>0.84233870757601093</v>
      </c>
      <c r="S53" s="23">
        <f t="shared" si="6"/>
        <v>1.6464191326842836</v>
      </c>
    </row>
    <row r="54" spans="1:19" x14ac:dyDescent="0.25">
      <c r="A54" s="456">
        <f t="shared" si="3"/>
        <v>0.96000000000000052</v>
      </c>
      <c r="B54" s="23">
        <f t="shared" si="5"/>
        <v>0.41521876365564458</v>
      </c>
      <c r="C54" s="23">
        <f t="shared" si="5"/>
        <v>0.82836431401158517</v>
      </c>
      <c r="D54" s="23">
        <f t="shared" si="5"/>
        <v>1.6402461803538277</v>
      </c>
      <c r="P54" s="456">
        <f t="shared" si="4"/>
        <v>0.96000000000000052</v>
      </c>
      <c r="Q54" s="23">
        <f t="shared" si="6"/>
        <v>0.41521876365564464</v>
      </c>
      <c r="R54" s="23">
        <f t="shared" si="6"/>
        <v>0.82836431401158517</v>
      </c>
      <c r="S54" s="23">
        <f t="shared" si="6"/>
        <v>1.640246180353828</v>
      </c>
    </row>
    <row r="55" spans="1:19" x14ac:dyDescent="0.25">
      <c r="A55" s="456">
        <f t="shared" si="3"/>
        <v>0.98000000000000054</v>
      </c>
      <c r="B55" s="23">
        <f t="shared" si="5"/>
        <v>0.40700089253606886</v>
      </c>
      <c r="C55" s="23">
        <f t="shared" si="5"/>
        <v>0.81350358610294504</v>
      </c>
      <c r="D55" s="23">
        <f t="shared" si="5"/>
        <v>1.6230276750421924</v>
      </c>
      <c r="P55" s="456">
        <f t="shared" si="4"/>
        <v>0.98000000000000054</v>
      </c>
      <c r="Q55" s="23">
        <f t="shared" si="6"/>
        <v>0.40700089253606886</v>
      </c>
      <c r="R55" s="23">
        <f t="shared" si="6"/>
        <v>0.81350358610294538</v>
      </c>
      <c r="S55" s="23">
        <f t="shared" si="6"/>
        <v>1.6230276750421924</v>
      </c>
    </row>
    <row r="56" spans="1:19" x14ac:dyDescent="0.25">
      <c r="A56" s="456">
        <f t="shared" si="3"/>
        <v>1.0000000000000004</v>
      </c>
      <c r="B56" s="23">
        <f t="shared" si="5"/>
        <v>0.39894228040143248</v>
      </c>
      <c r="C56" s="23">
        <f t="shared" si="5"/>
        <v>0.79788456080286496</v>
      </c>
      <c r="D56" s="23">
        <f t="shared" si="5"/>
        <v>1.5957691216057299</v>
      </c>
      <c r="P56" s="456">
        <f t="shared" si="4"/>
        <v>1.0000000000000004</v>
      </c>
      <c r="Q56" s="23">
        <f t="shared" si="6"/>
        <v>0.39894228040143254</v>
      </c>
      <c r="R56" s="23">
        <f t="shared" si="6"/>
        <v>0.79788456080286507</v>
      </c>
      <c r="S56" s="23">
        <f t="shared" si="6"/>
        <v>1.5957691216057301</v>
      </c>
    </row>
    <row r="57" spans="1:19" x14ac:dyDescent="0.25">
      <c r="A57" s="456">
        <f t="shared" si="3"/>
        <v>1.0200000000000005</v>
      </c>
      <c r="B57" s="23">
        <f t="shared" si="5"/>
        <v>0.39104320259716036</v>
      </c>
      <c r="C57" s="23">
        <f t="shared" si="5"/>
        <v>0.78162650467498929</v>
      </c>
      <c r="D57" s="23">
        <f t="shared" si="5"/>
        <v>1.5595792108422413</v>
      </c>
      <c r="P57" s="456">
        <f t="shared" si="4"/>
        <v>1.0200000000000005</v>
      </c>
      <c r="Q57" s="23">
        <f t="shared" si="6"/>
        <v>0.39104320259716041</v>
      </c>
      <c r="R57" s="23">
        <f t="shared" si="6"/>
        <v>0.78162650467498929</v>
      </c>
      <c r="S57" s="23">
        <f t="shared" si="6"/>
        <v>1.5595792108422415</v>
      </c>
    </row>
    <row r="58" spans="1:19" x14ac:dyDescent="0.25">
      <c r="A58" s="456">
        <f t="shared" si="3"/>
        <v>1.0400000000000005</v>
      </c>
      <c r="B58" s="23">
        <f t="shared" si="5"/>
        <v>0.38330342214356733</v>
      </c>
      <c r="C58" s="23">
        <f t="shared" si="5"/>
        <v>0.76484001749867137</v>
      </c>
      <c r="D58" s="23">
        <f t="shared" si="5"/>
        <v>1.5156266746092419</v>
      </c>
      <c r="P58" s="456">
        <f t="shared" si="4"/>
        <v>1.0400000000000005</v>
      </c>
      <c r="Q58" s="23">
        <f t="shared" si="6"/>
        <v>0.38330342214356738</v>
      </c>
      <c r="R58" s="23">
        <f t="shared" si="6"/>
        <v>0.76484001749867148</v>
      </c>
      <c r="S58" s="23">
        <f t="shared" si="6"/>
        <v>1.5156266746092422</v>
      </c>
    </row>
    <row r="59" spans="1:19" x14ac:dyDescent="0.25">
      <c r="A59" s="456">
        <f t="shared" si="3"/>
        <v>1.0600000000000005</v>
      </c>
      <c r="B59" s="23">
        <f t="shared" si="5"/>
        <v>0.37572226172856404</v>
      </c>
      <c r="C59" s="23">
        <f t="shared" si="5"/>
        <v>0.74762722160148509</v>
      </c>
      <c r="D59" s="23">
        <f t="shared" si="5"/>
        <v>1.4651018973561691</v>
      </c>
      <c r="P59" s="456">
        <f t="shared" si="4"/>
        <v>1.0600000000000005</v>
      </c>
      <c r="Q59" s="23">
        <f t="shared" si="6"/>
        <v>0.3757222617285641</v>
      </c>
      <c r="R59" s="23">
        <f t="shared" si="6"/>
        <v>0.74762722160148509</v>
      </c>
      <c r="S59" s="23">
        <f t="shared" si="6"/>
        <v>1.4651018973561696</v>
      </c>
    </row>
    <row r="60" spans="1:19" x14ac:dyDescent="0.25">
      <c r="A60" s="456">
        <f t="shared" si="3"/>
        <v>1.0800000000000005</v>
      </c>
      <c r="B60" s="23">
        <f t="shared" si="5"/>
        <v>0.36829866685362095</v>
      </c>
      <c r="C60" s="23">
        <f t="shared" si="5"/>
        <v>0.73008201817510721</v>
      </c>
      <c r="D60" s="23">
        <f t="shared" si="5"/>
        <v>1.4091839415135645</v>
      </c>
      <c r="P60" s="456">
        <f t="shared" si="4"/>
        <v>1.0800000000000005</v>
      </c>
      <c r="Q60" s="23">
        <f t="shared" si="6"/>
        <v>0.368298666853621</v>
      </c>
      <c r="R60" s="23">
        <f t="shared" si="6"/>
        <v>0.73008201817510732</v>
      </c>
      <c r="S60" s="23">
        <f t="shared" si="6"/>
        <v>1.4091839415135645</v>
      </c>
    </row>
    <row r="61" spans="1:19" x14ac:dyDescent="0.25">
      <c r="A61" s="456">
        <f t="shared" si="3"/>
        <v>1.1000000000000005</v>
      </c>
      <c r="B61" s="23">
        <f t="shared" si="5"/>
        <v>0.36103126122903978</v>
      </c>
      <c r="C61" s="23">
        <f t="shared" si="5"/>
        <v>0.71229039455688448</v>
      </c>
      <c r="D61" s="23">
        <f t="shared" si="5"/>
        <v>1.3490132578895826</v>
      </c>
      <c r="P61" s="456">
        <f t="shared" si="4"/>
        <v>1.1000000000000005</v>
      </c>
      <c r="Q61" s="23">
        <f t="shared" si="6"/>
        <v>0.36103126122903983</v>
      </c>
      <c r="R61" s="23">
        <f t="shared" si="6"/>
        <v>0.71229039455688459</v>
      </c>
      <c r="S61" s="23">
        <f t="shared" si="6"/>
        <v>1.3490132578895828</v>
      </c>
    </row>
    <row r="62" spans="1:19" x14ac:dyDescent="0.25">
      <c r="A62" s="456">
        <f t="shared" si="3"/>
        <v>1.1200000000000006</v>
      </c>
      <c r="B62" s="23">
        <f t="shared" si="5"/>
        <v>0.35391839537277092</v>
      </c>
      <c r="C62" s="23">
        <f t="shared" si="5"/>
        <v>0.69433076889477607</v>
      </c>
      <c r="D62" s="23">
        <f t="shared" si="5"/>
        <v>1.2856700412155786</v>
      </c>
      <c r="P62" s="456">
        <f t="shared" si="4"/>
        <v>1.1200000000000006</v>
      </c>
      <c r="Q62" s="23">
        <f t="shared" si="6"/>
        <v>0.35391839537277087</v>
      </c>
      <c r="R62" s="23">
        <f t="shared" si="6"/>
        <v>0.69433076889477618</v>
      </c>
      <c r="S62" s="23">
        <f t="shared" si="6"/>
        <v>1.285670041215579</v>
      </c>
    </row>
    <row r="63" spans="1:19" x14ac:dyDescent="0.25">
      <c r="A63" s="456">
        <f t="shared" si="3"/>
        <v>1.1400000000000006</v>
      </c>
      <c r="B63" s="23">
        <f t="shared" si="5"/>
        <v>0.34695818924453914</v>
      </c>
      <c r="C63" s="23">
        <f t="shared" si="5"/>
        <v>0.67627436077059278</v>
      </c>
      <c r="D63" s="23">
        <f t="shared" si="5"/>
        <v>1.2201579543154017</v>
      </c>
      <c r="P63" s="456">
        <f t="shared" si="4"/>
        <v>1.1400000000000006</v>
      </c>
      <c r="Q63" s="23">
        <f t="shared" si="6"/>
        <v>0.34695818924453925</v>
      </c>
      <c r="R63" s="23">
        <f t="shared" si="6"/>
        <v>0.67627436077059278</v>
      </c>
      <c r="S63" s="23">
        <f t="shared" si="6"/>
        <v>1.220157954315402</v>
      </c>
    </row>
    <row r="64" spans="1:19" x14ac:dyDescent="0.25">
      <c r="A64" s="456">
        <f t="shared" si="3"/>
        <v>1.1600000000000006</v>
      </c>
      <c r="B64" s="23">
        <f t="shared" si="5"/>
        <v>0.34014856964112228</v>
      </c>
      <c r="C64" s="23">
        <f t="shared" si="5"/>
        <v>0.65818557825307511</v>
      </c>
      <c r="D64" s="23">
        <f t="shared" si="5"/>
        <v>1.1533927765590433</v>
      </c>
      <c r="P64" s="456">
        <f t="shared" si="4"/>
        <v>1.1600000000000006</v>
      </c>
      <c r="Q64" s="23">
        <f t="shared" si="6"/>
        <v>0.34014856964112228</v>
      </c>
      <c r="R64" s="23">
        <f t="shared" si="6"/>
        <v>0.65818557825307511</v>
      </c>
      <c r="S64" s="23">
        <f t="shared" si="6"/>
        <v>1.1533927765590435</v>
      </c>
    </row>
    <row r="65" spans="1:19" x14ac:dyDescent="0.25">
      <c r="A65" s="456">
        <f t="shared" si="3"/>
        <v>1.1800000000000006</v>
      </c>
      <c r="B65" s="23">
        <f t="shared" si="5"/>
        <v>0.33348730298689805</v>
      </c>
      <c r="C65" s="23">
        <f t="shared" si="5"/>
        <v>0.64012241350848698</v>
      </c>
      <c r="D65" s="23">
        <f t="shared" si="5"/>
        <v>1.0861954250032997</v>
      </c>
      <c r="P65" s="456">
        <f t="shared" si="4"/>
        <v>1.1800000000000006</v>
      </c>
      <c r="Q65" s="23">
        <f t="shared" si="6"/>
        <v>0.3334873029868981</v>
      </c>
      <c r="R65" s="23">
        <f t="shared" si="6"/>
        <v>0.64012241350848709</v>
      </c>
      <c r="S65" s="23">
        <f t="shared" si="6"/>
        <v>1.0861954250032999</v>
      </c>
    </row>
    <row r="66" spans="1:19" x14ac:dyDescent="0.25">
      <c r="A66" s="456">
        <f t="shared" si="3"/>
        <v>1.2000000000000006</v>
      </c>
      <c r="B66" s="23">
        <f t="shared" si="5"/>
        <v>0.32697202407425546</v>
      </c>
      <c r="C66" s="23">
        <f t="shared" si="5"/>
        <v>0.62213684053328533</v>
      </c>
      <c r="D66" s="23">
        <f t="shared" si="5"/>
        <v>1.0192887402168016</v>
      </c>
      <c r="P66" s="456">
        <f t="shared" si="4"/>
        <v>1.2000000000000006</v>
      </c>
      <c r="Q66" s="23">
        <f t="shared" si="6"/>
        <v>0.32697202407425552</v>
      </c>
      <c r="R66" s="23">
        <f t="shared" si="6"/>
        <v>0.62213684053328544</v>
      </c>
      <c r="S66" s="23">
        <f t="shared" si="6"/>
        <v>1.0192887402168018</v>
      </c>
    </row>
    <row r="67" spans="1:19" x14ac:dyDescent="0.25">
      <c r="A67" s="456">
        <f t="shared" si="3"/>
        <v>1.2200000000000006</v>
      </c>
      <c r="B67" s="23">
        <f t="shared" si="5"/>
        <v>0.32060026123941365</v>
      </c>
      <c r="C67" s="23">
        <f t="shared" si="5"/>
        <v>0.60427520981247096</v>
      </c>
      <c r="D67" s="23">
        <f t="shared" si="5"/>
        <v>0.953297413188819</v>
      </c>
      <c r="P67" s="456">
        <f t="shared" si="4"/>
        <v>1.2200000000000006</v>
      </c>
      <c r="Q67" s="23">
        <f t="shared" si="6"/>
        <v>0.32060026123941382</v>
      </c>
      <c r="R67" s="23">
        <f t="shared" si="6"/>
        <v>0.60427520981247107</v>
      </c>
      <c r="S67" s="23">
        <f t="shared" si="6"/>
        <v>0.953297413188819</v>
      </c>
    </row>
    <row r="68" spans="1:19" x14ac:dyDescent="0.25">
      <c r="A68" s="456">
        <f t="shared" si="3"/>
        <v>1.2400000000000007</v>
      </c>
      <c r="B68" s="23">
        <f t="shared" si="5"/>
        <v>0.31436945839917957</v>
      </c>
      <c r="C68" s="23">
        <f t="shared" si="5"/>
        <v>0.58657863576927505</v>
      </c>
      <c r="D68" s="23">
        <f t="shared" si="5"/>
        <v>0.88875044529702207</v>
      </c>
      <c r="P68" s="456">
        <f t="shared" si="4"/>
        <v>1.2400000000000007</v>
      </c>
      <c r="Q68" s="23">
        <f t="shared" si="6"/>
        <v>0.31436945839917957</v>
      </c>
      <c r="R68" s="23">
        <f t="shared" si="6"/>
        <v>0.58657863576927527</v>
      </c>
      <c r="S68" s="23">
        <f t="shared" si="6"/>
        <v>0.88875044529702218</v>
      </c>
    </row>
    <row r="69" spans="1:19" x14ac:dyDescent="0.25">
      <c r="A69" s="456">
        <f t="shared" si="3"/>
        <v>1.2600000000000007</v>
      </c>
      <c r="B69" s="23">
        <f t="shared" si="5"/>
        <v>0.30827699432194067</v>
      </c>
      <c r="C69" s="23">
        <f t="shared" si="5"/>
        <v>0.56908337377673079</v>
      </c>
      <c r="D69" s="23">
        <f t="shared" si="5"/>
        <v>0.82608557132482052</v>
      </c>
      <c r="P69" s="456">
        <f t="shared" si="4"/>
        <v>1.2600000000000007</v>
      </c>
      <c r="Q69" s="23">
        <f t="shared" si="6"/>
        <v>0.30827699432194061</v>
      </c>
      <c r="R69" s="23">
        <f t="shared" si="6"/>
        <v>0.56908337377673079</v>
      </c>
      <c r="S69" s="23">
        <f t="shared" si="6"/>
        <v>0.82608557132482074</v>
      </c>
    </row>
    <row r="70" spans="1:19" x14ac:dyDescent="0.25">
      <c r="A70" s="456">
        <f t="shared" si="3"/>
        <v>1.2800000000000007</v>
      </c>
      <c r="B70" s="23">
        <f t="shared" si="5"/>
        <v>0.30232019946068156</v>
      </c>
      <c r="C70" s="23">
        <f t="shared" si="5"/>
        <v>0.55182118426796889</v>
      </c>
      <c r="D70" s="23">
        <f t="shared" si="5"/>
        <v>0.7656551284126456</v>
      </c>
      <c r="P70" s="456">
        <f t="shared" si="4"/>
        <v>1.2800000000000007</v>
      </c>
      <c r="Q70" s="23">
        <f t="shared" si="6"/>
        <v>0.30232019946068162</v>
      </c>
      <c r="R70" s="23">
        <f t="shared" si="6"/>
        <v>0.55182118426796889</v>
      </c>
      <c r="S70" s="23">
        <f t="shared" si="6"/>
        <v>0.7656551284126456</v>
      </c>
    </row>
    <row r="71" spans="1:19" x14ac:dyDescent="0.25">
      <c r="A71" s="456">
        <f t="shared" si="3"/>
        <v>1.3000000000000007</v>
      </c>
      <c r="B71" s="23">
        <f t="shared" si="5"/>
        <v>0.29649637063610468</v>
      </c>
      <c r="C71" s="23">
        <f t="shared" si="5"/>
        <v>0.53481968212685083</v>
      </c>
      <c r="D71" s="23">
        <f t="shared" si="5"/>
        <v>0.70773291532030846</v>
      </c>
      <c r="P71" s="456">
        <f t="shared" si="4"/>
        <v>1.3000000000000007</v>
      </c>
      <c r="Q71" s="23">
        <f t="shared" si="6"/>
        <v>0.29649637063610479</v>
      </c>
      <c r="R71" s="23">
        <f t="shared" si="6"/>
        <v>0.53481968212685094</v>
      </c>
      <c r="S71" s="23">
        <f t="shared" si="6"/>
        <v>0.70773291532030858</v>
      </c>
    </row>
    <row r="72" spans="1:19" x14ac:dyDescent="0.25">
      <c r="A72" s="456">
        <f t="shared" si="3"/>
        <v>1.3200000000000007</v>
      </c>
      <c r="B72" s="23">
        <f t="shared" si="5"/>
        <v>0.29080278382326802</v>
      </c>
      <c r="C72" s="23">
        <f t="shared" si="5"/>
        <v>0.51810267007938959</v>
      </c>
      <c r="D72" s="23">
        <f t="shared" si="5"/>
        <v>0.65252165146388696</v>
      </c>
      <c r="P72" s="456">
        <f t="shared" si="4"/>
        <v>1.3200000000000007</v>
      </c>
      <c r="Q72" s="23">
        <f t="shared" ref="Q72:S103" si="7">NORMDIST(LN($A72),Q$3,Q$4,FALSE)/$P72</f>
        <v>0.29080278382326807</v>
      </c>
      <c r="R72" s="23">
        <f t="shared" si="7"/>
        <v>0.5181026700793897</v>
      </c>
      <c r="S72" s="23">
        <f t="shared" si="7"/>
        <v>0.65252165146388708</v>
      </c>
    </row>
    <row r="73" spans="1:19" x14ac:dyDescent="0.25">
      <c r="A73" s="456">
        <f t="shared" ref="A73:A126" si="8">A72+0.02</f>
        <v>1.3400000000000007</v>
      </c>
      <c r="B73" s="23">
        <f t="shared" si="5"/>
        <v>0.28523670526483391</v>
      </c>
      <c r="C73" s="23">
        <f t="shared" si="5"/>
        <v>0.5016904552533562</v>
      </c>
      <c r="D73" s="23">
        <f t="shared" si="5"/>
        <v>0.60016071005198823</v>
      </c>
      <c r="P73" s="456">
        <f t="shared" ref="P73:P136" si="9">P72+0.02</f>
        <v>1.3400000000000007</v>
      </c>
      <c r="Q73" s="23">
        <f t="shared" si="7"/>
        <v>0.28523670526483391</v>
      </c>
      <c r="R73" s="23">
        <f t="shared" si="7"/>
        <v>0.50169045525335632</v>
      </c>
      <c r="S73" s="23">
        <f t="shared" si="7"/>
        <v>0.60016071005198823</v>
      </c>
    </row>
    <row r="74" spans="1:19" x14ac:dyDescent="0.25">
      <c r="A74" s="456">
        <f t="shared" si="8"/>
        <v>1.3600000000000008</v>
      </c>
      <c r="B74" s="23">
        <f t="shared" si="5"/>
        <v>0.27979540110749429</v>
      </c>
      <c r="C74" s="23">
        <f t="shared" si="5"/>
        <v>0.48560014844113075</v>
      </c>
      <c r="D74" s="23">
        <f t="shared" si="5"/>
        <v>0.55073386151788573</v>
      </c>
      <c r="P74" s="456">
        <f t="shared" si="9"/>
        <v>1.3600000000000008</v>
      </c>
      <c r="Q74" s="23">
        <f t="shared" si="7"/>
        <v>0.27979540110749435</v>
      </c>
      <c r="R74" s="23">
        <f t="shared" si="7"/>
        <v>0.48560014844113075</v>
      </c>
      <c r="S74" s="23">
        <f t="shared" si="7"/>
        <v>0.55073386151788584</v>
      </c>
    </row>
    <row r="75" spans="1:19" x14ac:dyDescent="0.25">
      <c r="A75" s="456">
        <f t="shared" si="8"/>
        <v>1.3800000000000008</v>
      </c>
      <c r="B75" s="23">
        <f t="shared" si="5"/>
        <v>0.27447614573488716</v>
      </c>
      <c r="C75" s="23">
        <f t="shared" si="5"/>
        <v>0.46984594590040557</v>
      </c>
      <c r="D75" s="23">
        <f t="shared" si="5"/>
        <v>0.50427682045856692</v>
      </c>
      <c r="P75" s="456">
        <f t="shared" si="9"/>
        <v>1.3800000000000008</v>
      </c>
      <c r="Q75" s="23">
        <f t="shared" si="7"/>
        <v>0.27447614573488721</v>
      </c>
      <c r="R75" s="23">
        <f t="shared" si="7"/>
        <v>0.46984594590040563</v>
      </c>
      <c r="S75" s="23">
        <f t="shared" si="7"/>
        <v>0.50427682045856692</v>
      </c>
    </row>
    <row r="76" spans="1:19" x14ac:dyDescent="0.25">
      <c r="A76" s="456">
        <f t="shared" si="8"/>
        <v>1.4000000000000008</v>
      </c>
      <c r="B76" s="23">
        <f t="shared" si="5"/>
        <v>0.26927622894993247</v>
      </c>
      <c r="C76" s="23">
        <f t="shared" si="5"/>
        <v>0.45443939376868664</v>
      </c>
      <c r="D76" s="23">
        <f t="shared" si="5"/>
        <v>0.46078444031823895</v>
      </c>
      <c r="P76" s="456">
        <f t="shared" si="9"/>
        <v>1.4000000000000008</v>
      </c>
      <c r="Q76" s="23">
        <f t="shared" si="7"/>
        <v>0.26927622894993247</v>
      </c>
      <c r="R76" s="23">
        <f t="shared" si="7"/>
        <v>0.45443939376868664</v>
      </c>
      <c r="S76" s="23">
        <f t="shared" si="7"/>
        <v>0.46078444031823901</v>
      </c>
    </row>
    <row r="77" spans="1:19" x14ac:dyDescent="0.25">
      <c r="A77" s="456">
        <f t="shared" si="8"/>
        <v>1.4200000000000008</v>
      </c>
      <c r="B77" s="23">
        <f t="shared" si="5"/>
        <v>0.26419296214161814</v>
      </c>
      <c r="C77" s="23">
        <f t="shared" si="5"/>
        <v>0.43938963535936076</v>
      </c>
      <c r="D77" s="23">
        <f t="shared" si="5"/>
        <v>0.4202174445436348</v>
      </c>
      <c r="P77" s="456">
        <f t="shared" si="9"/>
        <v>1.4200000000000008</v>
      </c>
      <c r="Q77" s="23">
        <f t="shared" si="7"/>
        <v>0.26419296214161819</v>
      </c>
      <c r="R77" s="23">
        <f t="shared" si="7"/>
        <v>0.43938963535936082</v>
      </c>
      <c r="S77" s="23">
        <f t="shared" si="7"/>
        <v>0.42021744454363485</v>
      </c>
    </row>
    <row r="78" spans="1:19" x14ac:dyDescent="0.25">
      <c r="A78" s="456">
        <f t="shared" si="8"/>
        <v>1.4400000000000008</v>
      </c>
      <c r="B78" s="23">
        <f t="shared" si="5"/>
        <v>0.2592236835555356</v>
      </c>
      <c r="C78" s="23">
        <f t="shared" si="5"/>
        <v>0.42470364175700093</v>
      </c>
      <c r="D78" s="23">
        <f t="shared" si="5"/>
        <v>0.38250862078505693</v>
      </c>
      <c r="P78" s="456">
        <f t="shared" si="9"/>
        <v>1.4400000000000008</v>
      </c>
      <c r="Q78" s="23">
        <f t="shared" si="7"/>
        <v>0.25922368355553566</v>
      </c>
      <c r="R78" s="23">
        <f t="shared" si="7"/>
        <v>0.42470364175700104</v>
      </c>
      <c r="S78" s="23">
        <f t="shared" si="7"/>
        <v>0.38250862078505699</v>
      </c>
    </row>
    <row r="79" spans="1:19" x14ac:dyDescent="0.25">
      <c r="A79" s="456">
        <f t="shared" si="8"/>
        <v>1.4600000000000009</v>
      </c>
      <c r="B79" s="23">
        <f t="shared" si="5"/>
        <v>0.25436576277363132</v>
      </c>
      <c r="C79" s="23">
        <f t="shared" si="5"/>
        <v>0.41038642624419686</v>
      </c>
      <c r="D79" s="23">
        <f t="shared" si="5"/>
        <v>0.34756843613464272</v>
      </c>
      <c r="P79" s="456">
        <f t="shared" si="9"/>
        <v>1.4600000000000009</v>
      </c>
      <c r="Q79" s="23">
        <f t="shared" si="7"/>
        <v>0.25436576277363127</v>
      </c>
      <c r="R79" s="23">
        <f t="shared" si="7"/>
        <v>0.41038642624419686</v>
      </c>
      <c r="S79" s="23">
        <f t="shared" si="7"/>
        <v>0.34756843613464267</v>
      </c>
    </row>
    <row r="80" spans="1:19" x14ac:dyDescent="0.25">
      <c r="A80" s="456">
        <f t="shared" si="8"/>
        <v>1.4800000000000009</v>
      </c>
      <c r="B80" s="23">
        <f t="shared" si="5"/>
        <v>0.24961660449646175</v>
      </c>
      <c r="C80" s="23">
        <f t="shared" si="5"/>
        <v>0.39644124317725665</v>
      </c>
      <c r="D80" s="23">
        <f t="shared" si="5"/>
        <v>0.31529005681437988</v>
      </c>
      <c r="P80" s="456">
        <f t="shared" si="9"/>
        <v>1.4800000000000009</v>
      </c>
      <c r="Q80" s="23">
        <f t="shared" si="7"/>
        <v>0.24961660449646172</v>
      </c>
      <c r="R80" s="23">
        <f t="shared" si="7"/>
        <v>0.39644124317725671</v>
      </c>
      <c r="S80" s="23">
        <f t="shared" si="7"/>
        <v>0.31529005681437994</v>
      </c>
    </row>
    <row r="81" spans="1:19" x14ac:dyDescent="0.25">
      <c r="A81" s="456">
        <f t="shared" si="8"/>
        <v>1.5000000000000009</v>
      </c>
      <c r="B81" s="23">
        <f t="shared" si="5"/>
        <v>0.24497365171050969</v>
      </c>
      <c r="C81" s="23">
        <f t="shared" si="5"/>
        <v>0.38286977198859212</v>
      </c>
      <c r="D81" s="23">
        <f t="shared" si="5"/>
        <v>0.28555377571925772</v>
      </c>
      <c r="P81" s="456">
        <f t="shared" si="9"/>
        <v>1.5000000000000009</v>
      </c>
      <c r="Q81" s="23">
        <f t="shared" si="7"/>
        <v>0.24497365171050975</v>
      </c>
      <c r="R81" s="23">
        <f t="shared" si="7"/>
        <v>0.38286977198859223</v>
      </c>
      <c r="S81" s="23">
        <f t="shared" si="7"/>
        <v>0.28555377571925777</v>
      </c>
    </row>
    <row r="82" spans="1:19" x14ac:dyDescent="0.25">
      <c r="A82" s="456">
        <f t="shared" si="8"/>
        <v>1.5200000000000009</v>
      </c>
      <c r="B82" s="23">
        <f t="shared" si="5"/>
        <v>0.24043438831365246</v>
      </c>
      <c r="C82" s="23">
        <f t="shared" si="5"/>
        <v>0.36967228703372867</v>
      </c>
      <c r="D82" s="23">
        <f t="shared" si="5"/>
        <v>0.25823086642477927</v>
      </c>
      <c r="P82" s="456">
        <f t="shared" si="9"/>
        <v>1.5200000000000009</v>
      </c>
      <c r="Q82" s="23">
        <f t="shared" si="7"/>
        <v>0.24043438831365246</v>
      </c>
      <c r="R82" s="23">
        <f t="shared" si="7"/>
        <v>0.36967228703372873</v>
      </c>
      <c r="S82" s="23">
        <f t="shared" si="7"/>
        <v>0.25823086642477933</v>
      </c>
    </row>
    <row r="83" spans="1:19" x14ac:dyDescent="0.25">
      <c r="A83" s="456">
        <f t="shared" si="8"/>
        <v>1.5400000000000009</v>
      </c>
      <c r="B83" s="23">
        <f t="shared" si="5"/>
        <v>0.23599634126352706</v>
      </c>
      <c r="C83" s="23">
        <f t="shared" si="5"/>
        <v>0.35684781402432936</v>
      </c>
      <c r="D83" s="23">
        <f t="shared" si="5"/>
        <v>0.23318689334397227</v>
      </c>
      <c r="P83" s="456">
        <f t="shared" si="9"/>
        <v>1.5400000000000009</v>
      </c>
      <c r="Q83" s="23">
        <f t="shared" si="7"/>
        <v>0.23599634126352709</v>
      </c>
      <c r="R83" s="23">
        <f t="shared" si="7"/>
        <v>0.35684781402432941</v>
      </c>
      <c r="S83" s="23">
        <f t="shared" si="7"/>
        <v>0.23318689334397227</v>
      </c>
    </row>
    <row r="84" spans="1:19" x14ac:dyDescent="0.25">
      <c r="A84" s="456">
        <f t="shared" si="8"/>
        <v>1.5600000000000009</v>
      </c>
      <c r="B84" s="23">
        <f t="shared" si="5"/>
        <v>0.23165708230615681</v>
      </c>
      <c r="C84" s="23">
        <f t="shared" si="5"/>
        <v>0.3443942737985044</v>
      </c>
      <c r="D84" s="23">
        <f t="shared" si="5"/>
        <v>0.2102845153145704</v>
      </c>
      <c r="P84" s="456">
        <f t="shared" si="9"/>
        <v>1.5600000000000009</v>
      </c>
      <c r="Q84" s="23">
        <f t="shared" si="7"/>
        <v>0.23165708230615681</v>
      </c>
      <c r="R84" s="23">
        <f t="shared" si="7"/>
        <v>0.3443942737985044</v>
      </c>
      <c r="S84" s="23">
        <f t="shared" si="7"/>
        <v>0.21028451531457046</v>
      </c>
    </row>
    <row r="85" spans="1:19" x14ac:dyDescent="0.25">
      <c r="A85" s="456">
        <f t="shared" si="8"/>
        <v>1.580000000000001</v>
      </c>
      <c r="B85" s="23">
        <f t="shared" si="5"/>
        <v>0.2274142293356855</v>
      </c>
      <c r="C85" s="23">
        <f t="shared" si="5"/>
        <v>0.33230861417863961</v>
      </c>
      <c r="D85" s="23">
        <f t="shared" si="5"/>
        <v>0.18938582462199141</v>
      </c>
      <c r="P85" s="456">
        <f t="shared" si="9"/>
        <v>1.580000000000001</v>
      </c>
      <c r="Q85" s="23">
        <f t="shared" si="7"/>
        <v>0.2274142293356855</v>
      </c>
      <c r="R85" s="23">
        <f t="shared" si="7"/>
        <v>0.33230861417863961</v>
      </c>
      <c r="S85" s="23">
        <f t="shared" si="7"/>
        <v>0.18938582462199144</v>
      </c>
    </row>
    <row r="86" spans="1:19" x14ac:dyDescent="0.25">
      <c r="A86" s="456">
        <f t="shared" si="8"/>
        <v>1.600000000000001</v>
      </c>
      <c r="B86" s="23">
        <f t="shared" si="5"/>
        <v>0.22326544743029889</v>
      </c>
      <c r="C86" s="23">
        <f t="shared" si="5"/>
        <v>0.32058693065726562</v>
      </c>
      <c r="D86" s="23">
        <f t="shared" si="5"/>
        <v>0.17035426587486777</v>
      </c>
      <c r="P86" s="456">
        <f t="shared" si="9"/>
        <v>1.600000000000001</v>
      </c>
      <c r="Q86" s="23">
        <f t="shared" si="7"/>
        <v>0.22326544743029886</v>
      </c>
      <c r="R86" s="23">
        <f t="shared" si="7"/>
        <v>0.32058693065726562</v>
      </c>
      <c r="S86" s="23">
        <f t="shared" si="7"/>
        <v>0.17035426587486785</v>
      </c>
    </row>
    <row r="87" spans="1:19" x14ac:dyDescent="0.25">
      <c r="A87" s="456">
        <f t="shared" si="8"/>
        <v>1.620000000000001</v>
      </c>
      <c r="B87" s="23">
        <f t="shared" si="5"/>
        <v>0.21920844960430741</v>
      </c>
      <c r="C87" s="23">
        <f t="shared" si="5"/>
        <v>0.30922457663498915</v>
      </c>
      <c r="D87" s="23">
        <f t="shared" si="5"/>
        <v>0.15305617974260644</v>
      </c>
      <c r="P87" s="456">
        <f t="shared" si="9"/>
        <v>1.620000000000001</v>
      </c>
      <c r="Q87" s="23">
        <f t="shared" si="7"/>
        <v>0.21920844960430749</v>
      </c>
      <c r="R87" s="23">
        <f t="shared" si="7"/>
        <v>0.30922457663498915</v>
      </c>
      <c r="S87" s="23">
        <f t="shared" si="7"/>
        <v>0.15305617974260652</v>
      </c>
    </row>
    <row r="88" spans="1:19" x14ac:dyDescent="0.25">
      <c r="A88" s="456">
        <f t="shared" si="8"/>
        <v>1.640000000000001</v>
      </c>
      <c r="B88" s="23">
        <f t="shared" ref="B88:D127" si="10">_xlfn.LOGNORM.DIST($A88,B$3,B$4,FALSE)</f>
        <v>0.2152409973118469</v>
      </c>
      <c r="C88" s="23">
        <f t="shared" si="10"/>
        <v>0.2982162639128062</v>
      </c>
      <c r="D88" s="23">
        <f t="shared" si="10"/>
        <v>0.13736201576975193</v>
      </c>
      <c r="P88" s="456">
        <f t="shared" si="9"/>
        <v>1.640000000000001</v>
      </c>
      <c r="Q88" s="23">
        <f t="shared" si="7"/>
        <v>0.2152409973118469</v>
      </c>
      <c r="R88" s="23">
        <f t="shared" si="7"/>
        <v>0.2982162639128062</v>
      </c>
      <c r="S88" s="23">
        <f t="shared" si="7"/>
        <v>0.13736201576975188</v>
      </c>
    </row>
    <row r="89" spans="1:19" x14ac:dyDescent="0.25">
      <c r="A89" s="456">
        <f t="shared" si="8"/>
        <v>1.660000000000001</v>
      </c>
      <c r="B89" s="23">
        <f t="shared" si="10"/>
        <v>0.211360900733641</v>
      </c>
      <c r="C89" s="23">
        <f t="shared" si="10"/>
        <v>0.28755615411553914</v>
      </c>
      <c r="D89" s="23">
        <f t="shared" si="10"/>
        <v>0.12314725666705689</v>
      </c>
      <c r="P89" s="456">
        <f t="shared" si="9"/>
        <v>1.660000000000001</v>
      </c>
      <c r="Q89" s="23">
        <f t="shared" si="7"/>
        <v>0.21136090073364103</v>
      </c>
      <c r="R89" s="23">
        <f t="shared" si="7"/>
        <v>0.2875561541155392</v>
      </c>
      <c r="S89" s="23">
        <f t="shared" si="7"/>
        <v>0.12314725666705691</v>
      </c>
    </row>
    <row r="90" spans="1:19" x14ac:dyDescent="0.25">
      <c r="A90" s="456">
        <f t="shared" si="8"/>
        <v>1.680000000000001</v>
      </c>
      <c r="B90" s="23">
        <f t="shared" si="10"/>
        <v>0.20756601887472509</v>
      </c>
      <c r="C90" s="23">
        <f t="shared" si="10"/>
        <v>0.27723794169478</v>
      </c>
      <c r="D90" s="23">
        <f t="shared" si="10"/>
        <v>0.11029309395090033</v>
      </c>
      <c r="P90" s="456">
        <f t="shared" si="9"/>
        <v>1.680000000000001</v>
      </c>
      <c r="Q90" s="23">
        <f t="shared" si="7"/>
        <v>0.20756601887472514</v>
      </c>
      <c r="R90" s="23">
        <f t="shared" si="7"/>
        <v>0.27723794169478005</v>
      </c>
      <c r="S90" s="23">
        <f t="shared" si="7"/>
        <v>0.11029309395090039</v>
      </c>
    </row>
    <row r="91" spans="1:19" x14ac:dyDescent="0.25">
      <c r="A91" s="456">
        <f t="shared" si="8"/>
        <v>1.7000000000000011</v>
      </c>
      <c r="B91" s="23">
        <f t="shared" si="10"/>
        <v>0.20385425949787128</v>
      </c>
      <c r="C91" s="23">
        <f t="shared" si="10"/>
        <v>0.26725492912948856</v>
      </c>
      <c r="D91" s="23">
        <f t="shared" si="10"/>
        <v>9.8686891812220359E-2</v>
      </c>
      <c r="P91" s="456">
        <f t="shared" si="9"/>
        <v>1.7000000000000011</v>
      </c>
      <c r="Q91" s="23">
        <f t="shared" si="7"/>
        <v>0.20385425949787131</v>
      </c>
      <c r="R91" s="23">
        <f t="shared" si="7"/>
        <v>0.26725492912948856</v>
      </c>
      <c r="S91" s="23">
        <f t="shared" si="7"/>
        <v>9.8686891812220415E-2</v>
      </c>
    </row>
    <row r="92" spans="1:19" x14ac:dyDescent="0.25">
      <c r="A92" s="456">
        <f t="shared" si="8"/>
        <v>1.7200000000000011</v>
      </c>
      <c r="B92" s="23">
        <f t="shared" si="10"/>
        <v>0.20022357891466089</v>
      </c>
      <c r="C92" s="23">
        <f t="shared" si="10"/>
        <v>0.25760009491103336</v>
      </c>
      <c r="D92" s="23">
        <f t="shared" si="10"/>
        <v>8.8222472844903976E-2</v>
      </c>
      <c r="P92" s="456">
        <f t="shared" si="9"/>
        <v>1.7200000000000011</v>
      </c>
      <c r="Q92" s="23">
        <f t="shared" si="7"/>
        <v>0.20022357891466094</v>
      </c>
      <c r="R92" s="23">
        <f t="shared" si="7"/>
        <v>0.25760009491103336</v>
      </c>
      <c r="S92" s="23">
        <f t="shared" si="7"/>
        <v>8.8222472844904018E-2</v>
      </c>
    </row>
    <row r="93" spans="1:19" x14ac:dyDescent="0.25">
      <c r="A93" s="456">
        <f t="shared" si="8"/>
        <v>1.7400000000000011</v>
      </c>
      <c r="B93" s="23">
        <f t="shared" si="10"/>
        <v>0.1966719816536647</v>
      </c>
      <c r="C93" s="23">
        <f t="shared" si="10"/>
        <v>0.24826615486756989</v>
      </c>
      <c r="D93" s="23">
        <f t="shared" si="10"/>
        <v>7.8800255909417596E-2</v>
      </c>
      <c r="P93" s="456">
        <f t="shared" si="9"/>
        <v>1.7400000000000011</v>
      </c>
      <c r="Q93" s="23">
        <f t="shared" si="7"/>
        <v>0.19667198165366465</v>
      </c>
      <c r="R93" s="23">
        <f t="shared" si="7"/>
        <v>0.24826615486756987</v>
      </c>
      <c r="S93" s="23">
        <f t="shared" si="7"/>
        <v>7.880025590941761E-2</v>
      </c>
    </row>
    <row r="94" spans="1:19" x14ac:dyDescent="0.25">
      <c r="A94" s="456">
        <f t="shared" si="8"/>
        <v>1.7600000000000011</v>
      </c>
      <c r="B94" s="23">
        <f t="shared" si="10"/>
        <v>0.19319752002298141</v>
      </c>
      <c r="C94" s="23">
        <f t="shared" si="10"/>
        <v>0.23924561735071787</v>
      </c>
      <c r="D94" s="23">
        <f t="shared" si="10"/>
        <v>7.0327273070826327E-2</v>
      </c>
      <c r="P94" s="456">
        <f t="shared" si="9"/>
        <v>1.7600000000000011</v>
      </c>
      <c r="Q94" s="23">
        <f t="shared" si="7"/>
        <v>0.19319752002298135</v>
      </c>
      <c r="R94" s="23">
        <f t="shared" si="7"/>
        <v>0.23924561735071789</v>
      </c>
      <c r="S94" s="23">
        <f t="shared" si="7"/>
        <v>7.0327273070826327E-2</v>
      </c>
    </row>
    <row r="95" spans="1:19" x14ac:dyDescent="0.25">
      <c r="A95" s="456">
        <f t="shared" si="8"/>
        <v>1.7800000000000011</v>
      </c>
      <c r="B95" s="23">
        <f t="shared" si="10"/>
        <v>0.18979829358242553</v>
      </c>
      <c r="C95" s="23">
        <f t="shared" si="10"/>
        <v>0.23053083277590694</v>
      </c>
      <c r="D95" s="23">
        <f t="shared" si="10"/>
        <v>6.2717089320113648E-2</v>
      </c>
      <c r="P95" s="456">
        <f t="shared" si="9"/>
        <v>1.7800000000000011</v>
      </c>
      <c r="Q95" s="23">
        <f t="shared" si="7"/>
        <v>0.18979829358242559</v>
      </c>
      <c r="R95" s="23">
        <f t="shared" si="7"/>
        <v>0.23053083277590697</v>
      </c>
      <c r="S95" s="23">
        <f t="shared" si="7"/>
        <v>6.2717089320113689E-2</v>
      </c>
    </row>
    <row r="96" spans="1:19" x14ac:dyDescent="0.25">
      <c r="A96" s="456">
        <f t="shared" si="8"/>
        <v>1.8000000000000012</v>
      </c>
      <c r="B96" s="23">
        <f t="shared" si="10"/>
        <v>0.18647244853890801</v>
      </c>
      <c r="C96" s="23">
        <f t="shared" si="10"/>
        <v>0.22211403797681689</v>
      </c>
      <c r="D96" s="23">
        <f t="shared" si="10"/>
        <v>5.5889645726684881E-2</v>
      </c>
      <c r="P96" s="456">
        <f t="shared" si="9"/>
        <v>1.8000000000000012</v>
      </c>
      <c r="Q96" s="23">
        <f t="shared" si="7"/>
        <v>0.18647244853890799</v>
      </c>
      <c r="R96" s="23">
        <f t="shared" si="7"/>
        <v>0.22211403797681689</v>
      </c>
      <c r="S96" s="23">
        <f t="shared" si="7"/>
        <v>5.5889645726684881E-2</v>
      </c>
    </row>
    <row r="97" spans="1:19" x14ac:dyDescent="0.25">
      <c r="A97" s="456">
        <f t="shared" si="8"/>
        <v>1.8200000000000012</v>
      </c>
      <c r="B97" s="23">
        <f t="shared" si="10"/>
        <v>0.18321817707699864</v>
      </c>
      <c r="C97" s="23">
        <f t="shared" si="10"/>
        <v>0.21398739580426546</v>
      </c>
      <c r="D97" s="23">
        <f t="shared" si="10"/>
        <v>4.9771043819681025E-2</v>
      </c>
      <c r="P97" s="456">
        <f t="shared" si="9"/>
        <v>1.8200000000000012</v>
      </c>
      <c r="Q97" s="23">
        <f t="shared" si="7"/>
        <v>0.18321817707699864</v>
      </c>
      <c r="R97" s="23">
        <f t="shared" si="7"/>
        <v>0.21398739580426548</v>
      </c>
      <c r="S97" s="23">
        <f t="shared" si="7"/>
        <v>4.9771043819681053E-2</v>
      </c>
    </row>
    <row r="98" spans="1:19" x14ac:dyDescent="0.25">
      <c r="A98" s="456">
        <f t="shared" si="8"/>
        <v>1.8400000000000012</v>
      </c>
      <c r="B98" s="23">
        <f t="shared" si="10"/>
        <v>0.18003371663528592</v>
      </c>
      <c r="C98" s="23">
        <f t="shared" si="10"/>
        <v>0.20614303037088358</v>
      </c>
      <c r="D98" s="23">
        <f t="shared" si="10"/>
        <v>4.4293286380931128E-2</v>
      </c>
      <c r="P98" s="456">
        <f t="shared" si="9"/>
        <v>1.8400000000000012</v>
      </c>
      <c r="Q98" s="23">
        <f t="shared" si="7"/>
        <v>0.18003371663528597</v>
      </c>
      <c r="R98" s="23">
        <f t="shared" si="7"/>
        <v>0.20614303037088363</v>
      </c>
      <c r="S98" s="23">
        <f t="shared" si="7"/>
        <v>4.4293286380931142E-2</v>
      </c>
    </row>
    <row r="99" spans="1:19" x14ac:dyDescent="0.25">
      <c r="A99" s="456">
        <f t="shared" si="8"/>
        <v>1.8600000000000012</v>
      </c>
      <c r="B99" s="23">
        <f t="shared" si="10"/>
        <v>0.17691734913790924</v>
      </c>
      <c r="C99" s="23">
        <f t="shared" si="10"/>
        <v>0.19857305831507141</v>
      </c>
      <c r="D99" s="23">
        <f t="shared" si="10"/>
        <v>3.9393987464471432E-2</v>
      </c>
      <c r="P99" s="456">
        <f t="shared" si="9"/>
        <v>1.8600000000000012</v>
      </c>
      <c r="Q99" s="23">
        <f t="shared" si="7"/>
        <v>0.17691734913790924</v>
      </c>
      <c r="R99" s="23">
        <f t="shared" si="7"/>
        <v>0.19857305831507147</v>
      </c>
      <c r="S99" s="23">
        <f t="shared" si="7"/>
        <v>3.9393987464471432E-2</v>
      </c>
    </row>
    <row r="100" spans="1:19" x14ac:dyDescent="0.25">
      <c r="A100" s="456">
        <f t="shared" si="8"/>
        <v>1.8800000000000012</v>
      </c>
      <c r="B100" s="23">
        <f t="shared" si="10"/>
        <v>0.17386740018955324</v>
      </c>
      <c r="C100" s="23">
        <f t="shared" si="10"/>
        <v>0.19126961643115187</v>
      </c>
      <c r="D100" s="23">
        <f t="shared" si="10"/>
        <v>3.5016062337999733E-2</v>
      </c>
      <c r="P100" s="456">
        <f t="shared" si="9"/>
        <v>1.8800000000000012</v>
      </c>
      <c r="Q100" s="23">
        <f t="shared" si="7"/>
        <v>0.1738674001895533</v>
      </c>
      <c r="R100" s="23">
        <f t="shared" si="7"/>
        <v>0.19126961643115195</v>
      </c>
      <c r="S100" s="23">
        <f t="shared" si="7"/>
        <v>3.5016062337999768E-2</v>
      </c>
    </row>
    <row r="101" spans="1:19" x14ac:dyDescent="0.25">
      <c r="A101" s="456">
        <f t="shared" si="8"/>
        <v>1.9000000000000012</v>
      </c>
      <c r="B101" s="23">
        <f t="shared" si="10"/>
        <v>0.17088223824121515</v>
      </c>
      <c r="C101" s="23">
        <f t="shared" si="10"/>
        <v>0.18422488598737174</v>
      </c>
      <c r="D101" s="23">
        <f t="shared" si="10"/>
        <v>3.1107406164382026E-2</v>
      </c>
      <c r="P101" s="456">
        <f t="shared" si="9"/>
        <v>1.9000000000000012</v>
      </c>
      <c r="Q101" s="23">
        <f t="shared" si="7"/>
        <v>0.17088223824121515</v>
      </c>
      <c r="R101" s="23">
        <f t="shared" si="7"/>
        <v>0.18422488598737177</v>
      </c>
      <c r="S101" s="23">
        <f t="shared" si="7"/>
        <v>3.110740616438205E-2</v>
      </c>
    </row>
    <row r="102" spans="1:19" x14ac:dyDescent="0.25">
      <c r="A102" s="456">
        <f t="shared" si="8"/>
        <v>1.9200000000000013</v>
      </c>
      <c r="B102" s="23">
        <f t="shared" si="10"/>
        <v>0.16796027373318798</v>
      </c>
      <c r="C102" s="23">
        <f t="shared" si="10"/>
        <v>0.17743111402947617</v>
      </c>
      <c r="D102" s="23">
        <f t="shared" si="10"/>
        <v>2.7620568595116142E-2</v>
      </c>
      <c r="P102" s="456">
        <f t="shared" si="9"/>
        <v>1.9200000000000013</v>
      </c>
      <c r="Q102" s="23">
        <f t="shared" si="7"/>
        <v>0.16796027373318798</v>
      </c>
      <c r="R102" s="23">
        <f t="shared" si="7"/>
        <v>0.17743111402947614</v>
      </c>
      <c r="S102" s="23">
        <f t="shared" si="7"/>
        <v>2.762056859511617E-2</v>
      </c>
    </row>
    <row r="103" spans="1:19" x14ac:dyDescent="0.25">
      <c r="A103" s="456">
        <f t="shared" si="8"/>
        <v>1.9400000000000013</v>
      </c>
      <c r="B103" s="23">
        <f t="shared" si="10"/>
        <v>0.16509995822093201</v>
      </c>
      <c r="C103" s="23">
        <f t="shared" si="10"/>
        <v>0.17088063194500647</v>
      </c>
      <c r="D103" s="23">
        <f t="shared" si="10"/>
        <v>2.4512430017675235E-2</v>
      </c>
      <c r="P103" s="456">
        <f t="shared" si="9"/>
        <v>1.9400000000000013</v>
      </c>
      <c r="Q103" s="23">
        <f t="shared" si="7"/>
        <v>0.1650999582209321</v>
      </c>
      <c r="R103" s="23">
        <f t="shared" si="7"/>
        <v>0.17088063194500649</v>
      </c>
      <c r="S103" s="23">
        <f t="shared" si="7"/>
        <v>2.4512430017675238E-2</v>
      </c>
    </row>
    <row r="104" spans="1:19" x14ac:dyDescent="0.25">
      <c r="A104" s="456">
        <f t="shared" si="8"/>
        <v>1.9600000000000013</v>
      </c>
      <c r="B104" s="23">
        <f t="shared" si="10"/>
        <v>0.16229978348881668</v>
      </c>
      <c r="C104" s="23">
        <f t="shared" si="10"/>
        <v>0.16456587154222838</v>
      </c>
      <c r="D104" s="23">
        <f t="shared" si="10"/>
        <v>2.1743883967931216E-2</v>
      </c>
      <c r="P104" s="456">
        <f t="shared" si="9"/>
        <v>1.9600000000000013</v>
      </c>
      <c r="Q104" s="23">
        <f t="shared" ref="Q104:S135" si="11">NORMDIST(LN($A104),Q$3,Q$4,FALSE)/$P104</f>
        <v>0.16229978348881671</v>
      </c>
      <c r="R104" s="23">
        <f t="shared" si="11"/>
        <v>0.1645658715422284</v>
      </c>
      <c r="S104" s="23">
        <f t="shared" si="11"/>
        <v>2.1743883967931216E-2</v>
      </c>
    </row>
    <row r="105" spans="1:19" x14ac:dyDescent="0.25">
      <c r="A105" s="456">
        <f t="shared" si="8"/>
        <v>1.9800000000000013</v>
      </c>
      <c r="B105" s="23">
        <f t="shared" si="10"/>
        <v>0.15955828065610134</v>
      </c>
      <c r="C105" s="23">
        <f t="shared" si="10"/>
        <v>0.158479378877664</v>
      </c>
      <c r="D105" s="23">
        <f t="shared" si="10"/>
        <v>1.9279529169357018E-2</v>
      </c>
      <c r="P105" s="456">
        <f t="shared" si="9"/>
        <v>1.9800000000000013</v>
      </c>
      <c r="Q105" s="23">
        <f t="shared" si="11"/>
        <v>0.15955828065610136</v>
      </c>
      <c r="R105" s="23">
        <f t="shared" si="11"/>
        <v>0.158479378877664</v>
      </c>
      <c r="S105" s="23">
        <f t="shared" si="11"/>
        <v>1.9279529169357035E-2</v>
      </c>
    </row>
    <row r="106" spans="1:19" x14ac:dyDescent="0.25">
      <c r="A106" s="456">
        <f t="shared" si="8"/>
        <v>2.0000000000000013</v>
      </c>
      <c r="B106" s="23">
        <f t="shared" si="10"/>
        <v>0.15687401927898098</v>
      </c>
      <c r="C106" s="23">
        <f t="shared" si="10"/>
        <v>0.15261382604754545</v>
      </c>
      <c r="D106" s="23">
        <f t="shared" si="10"/>
        <v>1.7087373774107899E-2</v>
      </c>
      <c r="P106" s="456">
        <f t="shared" si="9"/>
        <v>2.0000000000000013</v>
      </c>
      <c r="Q106" s="23">
        <f t="shared" si="11"/>
        <v>0.15687401927898093</v>
      </c>
      <c r="R106" s="23">
        <f t="shared" si="11"/>
        <v>0.15261382604754539</v>
      </c>
      <c r="S106" s="23">
        <f t="shared" si="11"/>
        <v>1.7087373774107902E-2</v>
      </c>
    </row>
    <row r="107" spans="1:19" x14ac:dyDescent="0.25">
      <c r="A107" s="456">
        <f t="shared" si="8"/>
        <v>2.0200000000000014</v>
      </c>
      <c r="B107" s="23">
        <f t="shared" si="10"/>
        <v>0.15424560645203197</v>
      </c>
      <c r="C107" s="23">
        <f t="shared" si="10"/>
        <v>0.14696202114108112</v>
      </c>
      <c r="D107" s="23">
        <f t="shared" si="10"/>
        <v>1.5138553639402488E-2</v>
      </c>
      <c r="P107" s="456">
        <f t="shared" si="9"/>
        <v>2.0200000000000014</v>
      </c>
      <c r="Q107" s="23">
        <f t="shared" si="11"/>
        <v>0.15424560645203206</v>
      </c>
      <c r="R107" s="23">
        <f t="shared" si="11"/>
        <v>0.1469620211410812</v>
      </c>
      <c r="S107" s="23">
        <f t="shared" si="11"/>
        <v>1.5138553639402483E-2</v>
      </c>
    </row>
    <row r="108" spans="1:19" x14ac:dyDescent="0.25">
      <c r="A108" s="456">
        <f t="shared" si="8"/>
        <v>2.0400000000000014</v>
      </c>
      <c r="B108" s="23">
        <f t="shared" si="10"/>
        <v>0.15167168591196536</v>
      </c>
      <c r="C108" s="23">
        <f t="shared" si="10"/>
        <v>0.14151691653718343</v>
      </c>
      <c r="D108" s="23">
        <f t="shared" si="10"/>
        <v>1.3407065858631988E-2</v>
      </c>
      <c r="P108" s="456">
        <f t="shared" si="9"/>
        <v>2.0400000000000014</v>
      </c>
      <c r="Q108" s="23">
        <f t="shared" si="11"/>
        <v>0.15167168591196539</v>
      </c>
      <c r="R108" s="23">
        <f t="shared" si="11"/>
        <v>0.14151691653718343</v>
      </c>
      <c r="S108" s="23">
        <f t="shared" si="11"/>
        <v>1.3407065858631979E-2</v>
      </c>
    </row>
    <row r="109" spans="1:19" x14ac:dyDescent="0.25">
      <c r="A109" s="456">
        <f t="shared" si="8"/>
        <v>2.0600000000000014</v>
      </c>
      <c r="B109" s="23">
        <f t="shared" si="10"/>
        <v>0.14915093714620381</v>
      </c>
      <c r="C109" s="23">
        <f t="shared" si="10"/>
        <v>0.13627161571119314</v>
      </c>
      <c r="D109" s="23">
        <f t="shared" si="10"/>
        <v>1.1869518264137159E-2</v>
      </c>
      <c r="P109" s="456">
        <f t="shared" si="9"/>
        <v>2.0600000000000014</v>
      </c>
      <c r="Q109" s="23">
        <f t="shared" si="11"/>
        <v>0.14915093714620384</v>
      </c>
      <c r="R109" s="23">
        <f t="shared" si="11"/>
        <v>0.13627161571119314</v>
      </c>
      <c r="S109" s="23">
        <f t="shared" si="11"/>
        <v>1.186951826413714E-2</v>
      </c>
    </row>
    <row r="110" spans="1:19" x14ac:dyDescent="0.25">
      <c r="A110" s="456">
        <f t="shared" si="8"/>
        <v>2.0800000000000014</v>
      </c>
      <c r="B110" s="23">
        <f t="shared" si="10"/>
        <v>0.14668207450846313</v>
      </c>
      <c r="C110" s="23">
        <f t="shared" si="10"/>
        <v>0.13121937870410544</v>
      </c>
      <c r="D110" s="23">
        <f t="shared" si="10"/>
        <v>1.0504895212638893E-2</v>
      </c>
      <c r="P110" s="456">
        <f t="shared" si="9"/>
        <v>2.0800000000000014</v>
      </c>
      <c r="Q110" s="23">
        <f t="shared" si="11"/>
        <v>0.14668207450846321</v>
      </c>
      <c r="R110" s="23">
        <f t="shared" si="11"/>
        <v>0.13121937870410547</v>
      </c>
      <c r="S110" s="23">
        <f t="shared" si="11"/>
        <v>1.0504895212638891E-2</v>
      </c>
    </row>
    <row r="111" spans="1:19" x14ac:dyDescent="0.25">
      <c r="A111" s="456">
        <f t="shared" si="8"/>
        <v>2.1000000000000014</v>
      </c>
      <c r="B111" s="23">
        <f t="shared" si="10"/>
        <v>0.14426384634320799</v>
      </c>
      <c r="C111" s="23">
        <f t="shared" si="10"/>
        <v>0.12635362639378211</v>
      </c>
      <c r="D111" s="23">
        <f t="shared" si="10"/>
        <v>9.2943396412396989E-3</v>
      </c>
      <c r="P111" s="456">
        <f t="shared" si="9"/>
        <v>2.1000000000000014</v>
      </c>
      <c r="Q111" s="23">
        <f t="shared" si="11"/>
        <v>0.14426384634320799</v>
      </c>
      <c r="R111" s="23">
        <f t="shared" si="11"/>
        <v>0.12635362639378214</v>
      </c>
      <c r="S111" s="23">
        <f t="shared" si="11"/>
        <v>9.2943396412396937E-3</v>
      </c>
    </row>
    <row r="112" spans="1:19" x14ac:dyDescent="0.25">
      <c r="A112" s="456">
        <f t="shared" si="8"/>
        <v>2.1200000000000014</v>
      </c>
      <c r="B112" s="23">
        <f t="shared" si="10"/>
        <v>0.14189503412058335</v>
      </c>
      <c r="C112" s="23">
        <f t="shared" si="10"/>
        <v>0.12166794369558592</v>
      </c>
      <c r="D112" s="23">
        <f t="shared" si="10"/>
        <v>8.2209511294167627E-3</v>
      </c>
      <c r="P112" s="456">
        <f t="shared" si="9"/>
        <v>2.1200000000000014</v>
      </c>
      <c r="Q112" s="23">
        <f t="shared" si="11"/>
        <v>0.14189503412058335</v>
      </c>
      <c r="R112" s="23">
        <f t="shared" si="11"/>
        <v>0.12166794369558591</v>
      </c>
      <c r="S112" s="23">
        <f t="shared" si="11"/>
        <v>8.2209511294167609E-3</v>
      </c>
    </row>
    <row r="113" spans="1:19" x14ac:dyDescent="0.25">
      <c r="A113" s="456">
        <f t="shared" si="8"/>
        <v>2.1400000000000015</v>
      </c>
      <c r="B113" s="23">
        <f t="shared" si="10"/>
        <v>0.13957445158318357</v>
      </c>
      <c r="C113" s="23">
        <f t="shared" si="10"/>
        <v>0.11715608180872986</v>
      </c>
      <c r="D113" s="23">
        <f t="shared" si="10"/>
        <v>7.2695995095245283E-3</v>
      </c>
      <c r="P113" s="456">
        <f t="shared" si="9"/>
        <v>2.1400000000000015</v>
      </c>
      <c r="Q113" s="23">
        <f t="shared" si="11"/>
        <v>0.13957445158318357</v>
      </c>
      <c r="R113" s="23">
        <f t="shared" si="11"/>
        <v>0.1171560818087299</v>
      </c>
      <c r="S113" s="23">
        <f t="shared" si="11"/>
        <v>7.2695995095245361E-3</v>
      </c>
    </row>
    <row r="114" spans="1:19" x14ac:dyDescent="0.25">
      <c r="A114" s="456">
        <f t="shared" si="8"/>
        <v>2.1600000000000015</v>
      </c>
      <c r="B114" s="23">
        <f t="shared" si="10"/>
        <v>0.13730094390580436</v>
      </c>
      <c r="C114" s="23">
        <f t="shared" si="10"/>
        <v>0.11281195961434244</v>
      </c>
      <c r="D114" s="23">
        <f t="shared" si="10"/>
        <v>6.4267534252977349E-3</v>
      </c>
      <c r="P114" s="456">
        <f t="shared" si="9"/>
        <v>2.1600000000000015</v>
      </c>
      <c r="Q114" s="23">
        <f t="shared" si="11"/>
        <v>0.13730094390580441</v>
      </c>
      <c r="R114" s="23">
        <f t="shared" si="11"/>
        <v>0.11281195961434248</v>
      </c>
      <c r="S114" s="23">
        <f t="shared" si="11"/>
        <v>6.4267534252977383E-3</v>
      </c>
    </row>
    <row r="115" spans="1:19" x14ac:dyDescent="0.25">
      <c r="A115" s="456">
        <f t="shared" si="8"/>
        <v>2.1800000000000015</v>
      </c>
      <c r="B115" s="23">
        <f t="shared" si="10"/>
        <v>0.13507338686913622</v>
      </c>
      <c r="C115" s="23">
        <f t="shared" si="10"/>
        <v>0.10862966432175734</v>
      </c>
      <c r="D115" s="23">
        <f t="shared" si="10"/>
        <v>5.6803231361903048E-3</v>
      </c>
      <c r="P115" s="456">
        <f t="shared" si="9"/>
        <v>2.1800000000000015</v>
      </c>
      <c r="Q115" s="23">
        <f t="shared" si="11"/>
        <v>0.1350733868691362</v>
      </c>
      <c r="R115" s="23">
        <f t="shared" si="11"/>
        <v>0.10862966432175736</v>
      </c>
      <c r="S115" s="23">
        <f t="shared" si="11"/>
        <v>5.6803231361903126E-3</v>
      </c>
    </row>
    <row r="116" spans="1:19" x14ac:dyDescent="0.25">
      <c r="A116" s="456">
        <f t="shared" si="8"/>
        <v>2.2000000000000015</v>
      </c>
      <c r="B116" s="23">
        <f t="shared" si="10"/>
        <v>0.13289068604818724</v>
      </c>
      <c r="C116" s="23">
        <f t="shared" si="10"/>
        <v>0.10460345145079357</v>
      </c>
      <c r="D116" s="23">
        <f t="shared" si="10"/>
        <v>5.0195167976989745E-3</v>
      </c>
      <c r="P116" s="456">
        <f t="shared" si="9"/>
        <v>2.2000000000000015</v>
      </c>
      <c r="Q116" s="23">
        <f t="shared" si="11"/>
        <v>0.13289068604818727</v>
      </c>
      <c r="R116" s="23">
        <f t="shared" si="11"/>
        <v>0.10460345145079364</v>
      </c>
      <c r="S116" s="23">
        <f t="shared" si="11"/>
        <v>5.0195167976989797E-3</v>
      </c>
    </row>
    <row r="117" spans="1:19" x14ac:dyDescent="0.25">
      <c r="A117" s="456">
        <f t="shared" si="8"/>
        <v>2.2200000000000015</v>
      </c>
      <c r="B117" s="23">
        <f t="shared" si="10"/>
        <v>0.13075177601607813</v>
      </c>
      <c r="C117" s="23">
        <f t="shared" si="10"/>
        <v>0.10072774422974215</v>
      </c>
      <c r="D117" s="23">
        <f t="shared" si="10"/>
        <v>4.4347094077205823E-3</v>
      </c>
      <c r="P117" s="456">
        <f t="shared" si="9"/>
        <v>2.2200000000000015</v>
      </c>
      <c r="Q117" s="23">
        <f t="shared" si="11"/>
        <v>0.13075177601607813</v>
      </c>
      <c r="R117" s="23">
        <f t="shared" si="11"/>
        <v>0.10072774422974216</v>
      </c>
      <c r="S117" s="23">
        <f t="shared" si="11"/>
        <v>4.4347094077205806E-3</v>
      </c>
    </row>
    <row r="118" spans="1:19" x14ac:dyDescent="0.25">
      <c r="A118" s="456">
        <f t="shared" si="8"/>
        <v>2.2400000000000015</v>
      </c>
      <c r="B118" s="23">
        <f t="shared" si="10"/>
        <v>0.12865561956371538</v>
      </c>
      <c r="C118" s="23">
        <f t="shared" si="10"/>
        <v>9.6997132481378187E-2</v>
      </c>
      <c r="D118" s="23">
        <f t="shared" si="10"/>
        <v>3.91732359101648E-3</v>
      </c>
      <c r="P118" s="456">
        <f t="shared" si="9"/>
        <v>2.2400000000000015</v>
      </c>
      <c r="Q118" s="23">
        <f t="shared" si="11"/>
        <v>0.12865561956371538</v>
      </c>
      <c r="R118" s="23">
        <f t="shared" si="11"/>
        <v>9.6997132481378215E-2</v>
      </c>
      <c r="S118" s="23">
        <f t="shared" si="11"/>
        <v>3.9173235910164843E-3</v>
      </c>
    </row>
    <row r="119" spans="1:19" x14ac:dyDescent="0.25">
      <c r="A119" s="456">
        <f t="shared" si="8"/>
        <v>2.2600000000000016</v>
      </c>
      <c r="B119" s="23">
        <f t="shared" si="10"/>
        <v>0.12660120693573856</v>
      </c>
      <c r="C119" s="23">
        <f t="shared" si="10"/>
        <v>9.3406371062523794E-2</v>
      </c>
      <c r="D119" s="23">
        <f t="shared" si="10"/>
        <v>3.4597213933604621E-3</v>
      </c>
      <c r="P119" s="456">
        <f t="shared" si="9"/>
        <v>2.2600000000000016</v>
      </c>
      <c r="Q119" s="23">
        <f t="shared" si="11"/>
        <v>0.12660120693573865</v>
      </c>
      <c r="R119" s="23">
        <f t="shared" si="11"/>
        <v>9.3406371062523794E-2</v>
      </c>
      <c r="S119" s="23">
        <f t="shared" si="11"/>
        <v>3.4597213933604647E-3</v>
      </c>
    </row>
    <row r="120" spans="1:19" x14ac:dyDescent="0.25">
      <c r="A120" s="456">
        <f t="shared" si="8"/>
        <v>2.2800000000000016</v>
      </c>
      <c r="B120" s="23">
        <f t="shared" si="10"/>
        <v>0.1245875550830301</v>
      </c>
      <c r="C120" s="23">
        <f t="shared" si="10"/>
        <v>8.9950377916450289E-2</v>
      </c>
      <c r="D120" s="23">
        <f t="shared" si="10"/>
        <v>3.0551062700147659E-3</v>
      </c>
      <c r="P120" s="456">
        <f t="shared" si="9"/>
        <v>2.2800000000000016</v>
      </c>
      <c r="Q120" s="23">
        <f t="shared" si="11"/>
        <v>0.12458755508303011</v>
      </c>
      <c r="R120" s="23">
        <f t="shared" si="11"/>
        <v>8.9950377916450303E-2</v>
      </c>
      <c r="S120" s="23">
        <f t="shared" si="11"/>
        <v>3.0551062700147672E-3</v>
      </c>
    </row>
    <row r="121" spans="1:19" x14ac:dyDescent="0.25">
      <c r="A121" s="456">
        <f t="shared" si="8"/>
        <v>2.3000000000000016</v>
      </c>
      <c r="B121" s="23">
        <f t="shared" si="10"/>
        <v>0.12261370693198832</v>
      </c>
      <c r="C121" s="23">
        <f t="shared" si="10"/>
        <v>8.6624231791699383E-2</v>
      </c>
      <c r="D121" s="23">
        <f t="shared" si="10"/>
        <v>2.6974344765351667E-3</v>
      </c>
      <c r="P121" s="456">
        <f t="shared" si="9"/>
        <v>2.3000000000000016</v>
      </c>
      <c r="Q121" s="23">
        <f t="shared" si="11"/>
        <v>0.12261370693198836</v>
      </c>
      <c r="R121" s="23">
        <f t="shared" si="11"/>
        <v>8.662423179169941E-2</v>
      </c>
      <c r="S121" s="23">
        <f t="shared" si="11"/>
        <v>2.697434476535168E-3</v>
      </c>
    </row>
    <row r="122" spans="1:19" x14ac:dyDescent="0.25">
      <c r="A122" s="456">
        <f t="shared" si="8"/>
        <v>2.3200000000000016</v>
      </c>
      <c r="B122" s="23">
        <f t="shared" si="10"/>
        <v>0.12067873067068635</v>
      </c>
      <c r="C122" s="23">
        <f t="shared" si="10"/>
        <v>8.3423169675665099E-2</v>
      </c>
      <c r="D122" s="23">
        <f t="shared" si="10"/>
        <v>2.3813351008314574E-3</v>
      </c>
      <c r="P122" s="456">
        <f t="shared" si="9"/>
        <v>2.3200000000000016</v>
      </c>
      <c r="Q122" s="23">
        <f t="shared" si="11"/>
        <v>0.12067873067068639</v>
      </c>
      <c r="R122" s="23">
        <f t="shared" si="11"/>
        <v>8.342316967566514E-2</v>
      </c>
      <c r="S122" s="23">
        <f t="shared" si="11"/>
        <v>2.3813351008314569E-3</v>
      </c>
    </row>
    <row r="123" spans="1:19" x14ac:dyDescent="0.25">
      <c r="A123" s="456">
        <f t="shared" si="8"/>
        <v>2.3400000000000016</v>
      </c>
      <c r="B123" s="23">
        <f t="shared" si="10"/>
        <v>0.11878171905196674</v>
      </c>
      <c r="C123" s="23">
        <f t="shared" si="10"/>
        <v>8.034258398649563E-2</v>
      </c>
      <c r="D123" s="23">
        <f t="shared" si="10"/>
        <v>2.1020380116691575E-3</v>
      </c>
      <c r="P123" s="456">
        <f t="shared" si="9"/>
        <v>2.3400000000000016</v>
      </c>
      <c r="Q123" s="23">
        <f t="shared" si="11"/>
        <v>0.11878171905196672</v>
      </c>
      <c r="R123" s="23">
        <f t="shared" si="11"/>
        <v>8.0342583986495644E-2</v>
      </c>
      <c r="S123" s="23">
        <f t="shared" si="11"/>
        <v>2.1020380116691583E-3</v>
      </c>
    </row>
    <row r="124" spans="1:19" x14ac:dyDescent="0.25">
      <c r="A124" s="456">
        <f t="shared" si="8"/>
        <v>2.3600000000000017</v>
      </c>
      <c r="B124" s="23">
        <f t="shared" si="10"/>
        <v>0.11692178871346433</v>
      </c>
      <c r="C124" s="23">
        <f t="shared" si="10"/>
        <v>7.7378019562494654E-2</v>
      </c>
      <c r="D124" s="23">
        <f t="shared" si="10"/>
        <v>1.8553090385687856E-3</v>
      </c>
      <c r="P124" s="456">
        <f t="shared" si="9"/>
        <v>2.3600000000000017</v>
      </c>
      <c r="Q124" s="23">
        <f t="shared" si="11"/>
        <v>0.11692178871346426</v>
      </c>
      <c r="R124" s="23">
        <f t="shared" si="11"/>
        <v>7.7378019562494696E-2</v>
      </c>
      <c r="S124" s="23">
        <f t="shared" si="11"/>
        <v>1.8553090385687871E-3</v>
      </c>
    </row>
    <row r="125" spans="1:19" x14ac:dyDescent="0.25">
      <c r="A125" s="456">
        <f t="shared" si="8"/>
        <v>2.3800000000000017</v>
      </c>
      <c r="B125" s="23">
        <f t="shared" si="10"/>
        <v>0.11509807951449595</v>
      </c>
      <c r="C125" s="23">
        <f t="shared" si="10"/>
        <v>7.4525170484208425E-2</v>
      </c>
      <c r="D125" s="23">
        <f t="shared" si="10"/>
        <v>1.637391739874346E-3</v>
      </c>
      <c r="P125" s="456">
        <f t="shared" si="9"/>
        <v>2.3800000000000017</v>
      </c>
      <c r="Q125" s="23">
        <f t="shared" si="11"/>
        <v>0.11509807951449592</v>
      </c>
      <c r="R125" s="23">
        <f t="shared" si="11"/>
        <v>7.4525170484208453E-2</v>
      </c>
      <c r="S125" s="23">
        <f t="shared" si="11"/>
        <v>1.6373917398743471E-3</v>
      </c>
    </row>
    <row r="126" spans="1:19" x14ac:dyDescent="0.25">
      <c r="A126" s="456">
        <f t="shared" si="8"/>
        <v>2.4000000000000017</v>
      </c>
      <c r="B126" s="23">
        <f t="shared" si="10"/>
        <v>0.11330975388970903</v>
      </c>
      <c r="C126" s="23">
        <f t="shared" si="10"/>
        <v>7.177987676073537E-2</v>
      </c>
      <c r="D126" s="23">
        <f t="shared" si="10"/>
        <v>1.444955158454099E-3</v>
      </c>
      <c r="P126" s="456">
        <f t="shared" si="9"/>
        <v>2.4000000000000017</v>
      </c>
      <c r="Q126" s="23">
        <f t="shared" si="11"/>
        <v>0.11330975388970903</v>
      </c>
      <c r="R126" s="23">
        <f t="shared" si="11"/>
        <v>7.1779876760735356E-2</v>
      </c>
      <c r="S126" s="23">
        <f t="shared" si="11"/>
        <v>1.4449551584540985E-3</v>
      </c>
    </row>
    <row r="127" spans="1:19" x14ac:dyDescent="0.25">
      <c r="A127" s="456">
        <f t="shared" ref="A127:A155" si="12">A126+0.02</f>
        <v>2.4200000000000017</v>
      </c>
      <c r="B127" s="23">
        <f t="shared" si="10"/>
        <v>0.11155599621934263</v>
      </c>
      <c r="C127" s="23">
        <f t="shared" si="10"/>
        <v>6.913812090847285E-2</v>
      </c>
      <c r="D127" s="23">
        <f t="shared" si="10"/>
        <v>1.2750470071498034E-3</v>
      </c>
      <c r="P127" s="456">
        <f t="shared" si="9"/>
        <v>2.4200000000000017</v>
      </c>
      <c r="Q127" s="23">
        <f t="shared" si="11"/>
        <v>0.11155599621934265</v>
      </c>
      <c r="R127" s="23">
        <f t="shared" si="11"/>
        <v>6.913812090847285E-2</v>
      </c>
      <c r="S127" s="23">
        <f t="shared" si="11"/>
        <v>1.275047007149804E-3</v>
      </c>
    </row>
    <row r="128" spans="1:19" x14ac:dyDescent="0.25">
      <c r="A128" s="456">
        <f t="shared" si="12"/>
        <v>2.4400000000000017</v>
      </c>
      <c r="B128" s="23">
        <f t="shared" ref="B128:D156" si="13">_xlfn.LOGNORM.DIST($A128,B$3,B$4,FALSE)</f>
        <v>0.10983601221591981</v>
      </c>
      <c r="C128" s="23">
        <f t="shared" si="13"/>
        <v>6.6596024447487162E-2</v>
      </c>
      <c r="D128" s="23">
        <f t="shared" si="13"/>
        <v>1.1250517680014194E-3</v>
      </c>
      <c r="P128" s="456">
        <f t="shared" si="9"/>
        <v>2.4400000000000017</v>
      </c>
      <c r="Q128" s="23">
        <f t="shared" si="11"/>
        <v>0.10983601221591989</v>
      </c>
      <c r="R128" s="23">
        <f t="shared" si="11"/>
        <v>6.6596024447487134E-2</v>
      </c>
      <c r="S128" s="23">
        <f t="shared" si="11"/>
        <v>1.12505176800142E-3</v>
      </c>
    </row>
    <row r="129" spans="1:19" x14ac:dyDescent="0.25">
      <c r="A129" s="456">
        <f t="shared" si="12"/>
        <v>2.4600000000000017</v>
      </c>
      <c r="B129" s="23">
        <f t="shared" si="13"/>
        <v>0.10814902832716188</v>
      </c>
      <c r="C129" s="23">
        <f t="shared" si="13"/>
        <v>6.4149844337936759E-2</v>
      </c>
      <c r="D129" s="23">
        <f t="shared" si="13"/>
        <v>9.9265322991382325E-4</v>
      </c>
      <c r="P129" s="456">
        <f t="shared" si="9"/>
        <v>2.4600000000000017</v>
      </c>
      <c r="Q129" s="23">
        <f t="shared" si="11"/>
        <v>0.10814902832716186</v>
      </c>
      <c r="R129" s="23">
        <f t="shared" si="11"/>
        <v>6.4149844337936746E-2</v>
      </c>
      <c r="S129" s="23">
        <f t="shared" si="11"/>
        <v>9.9265322991382433E-4</v>
      </c>
    </row>
    <row r="130" spans="1:19" x14ac:dyDescent="0.25">
      <c r="A130" s="456">
        <f t="shared" si="12"/>
        <v>2.4800000000000018</v>
      </c>
      <c r="B130" s="23">
        <f t="shared" si="13"/>
        <v>0.10649429115488838</v>
      </c>
      <c r="C130" s="23">
        <f t="shared" si="13"/>
        <v>6.1795969376475413E-2</v>
      </c>
      <c r="D130" s="23">
        <f t="shared" si="13"/>
        <v>8.7580102841619892E-4</v>
      </c>
      <c r="P130" s="456">
        <f t="shared" si="9"/>
        <v>2.4800000000000018</v>
      </c>
      <c r="Q130" s="23">
        <f t="shared" si="11"/>
        <v>0.1064942911548884</v>
      </c>
      <c r="R130" s="23">
        <f t="shared" si="11"/>
        <v>6.1795969376475426E-2</v>
      </c>
      <c r="S130" s="23">
        <f t="shared" si="11"/>
        <v>8.7580102841619924E-4</v>
      </c>
    </row>
    <row r="131" spans="1:19" x14ac:dyDescent="0.25">
      <c r="A131" s="456">
        <f t="shared" si="12"/>
        <v>2.5000000000000018</v>
      </c>
      <c r="B131" s="23">
        <f t="shared" si="13"/>
        <v>0.1048710668896497</v>
      </c>
      <c r="C131" s="23">
        <f t="shared" si="13"/>
        <v>5.9530916570285544E-2</v>
      </c>
      <c r="D131" s="23">
        <f t="shared" si="13"/>
        <v>7.7268078822628674E-4</v>
      </c>
      <c r="P131" s="456">
        <f t="shared" si="9"/>
        <v>2.5000000000000018</v>
      </c>
      <c r="Q131" s="23">
        <f t="shared" si="11"/>
        <v>0.1048710668896497</v>
      </c>
      <c r="R131" s="23">
        <f t="shared" si="11"/>
        <v>5.9530916570285558E-2</v>
      </c>
      <c r="S131" s="23">
        <f t="shared" si="11"/>
        <v>7.7268078822628728E-4</v>
      </c>
    </row>
    <row r="132" spans="1:19" x14ac:dyDescent="0.25">
      <c r="A132" s="456">
        <f t="shared" si="12"/>
        <v>2.5200000000000018</v>
      </c>
      <c r="B132" s="23">
        <f t="shared" si="13"/>
        <v>0.10327864076081664</v>
      </c>
      <c r="C132" s="23">
        <f t="shared" si="13"/>
        <v>5.7351327504328233E-2</v>
      </c>
      <c r="D132" s="23">
        <f t="shared" si="13"/>
        <v>6.8168750429889664E-4</v>
      </c>
      <c r="P132" s="456">
        <f t="shared" si="9"/>
        <v>2.5200000000000018</v>
      </c>
      <c r="Q132" s="23">
        <f t="shared" si="11"/>
        <v>0.1032786407608166</v>
      </c>
      <c r="R132" s="23">
        <f t="shared" si="11"/>
        <v>5.7351327504328219E-2</v>
      </c>
      <c r="S132" s="23">
        <f t="shared" si="11"/>
        <v>6.8168750429889664E-4</v>
      </c>
    </row>
    <row r="133" spans="1:19" x14ac:dyDescent="0.25">
      <c r="A133" s="456">
        <f t="shared" si="12"/>
        <v>2.5400000000000018</v>
      </c>
      <c r="B133" s="23">
        <f t="shared" si="13"/>
        <v>0.10171631650184215</v>
      </c>
      <c r="C133" s="23">
        <f t="shared" si="13"/>
        <v>5.5253964715525614E-2</v>
      </c>
      <c r="D133" s="23">
        <f t="shared" si="13"/>
        <v>6.0140182981516558E-4</v>
      </c>
      <c r="P133" s="456">
        <f t="shared" si="9"/>
        <v>2.5400000000000018</v>
      </c>
      <c r="Q133" s="23">
        <f t="shared" si="11"/>
        <v>0.10171631650184211</v>
      </c>
      <c r="R133" s="23">
        <f t="shared" si="11"/>
        <v>5.5253964715525565E-2</v>
      </c>
      <c r="S133" s="23">
        <f t="shared" si="11"/>
        <v>6.0140182981516558E-4</v>
      </c>
    </row>
    <row r="134" spans="1:19" x14ac:dyDescent="0.25">
      <c r="A134" s="456">
        <f t="shared" si="12"/>
        <v>2.5600000000000018</v>
      </c>
      <c r="B134" s="23">
        <f t="shared" si="13"/>
        <v>0.10018341583039554</v>
      </c>
      <c r="C134" s="23">
        <f t="shared" si="13"/>
        <v>5.3235708085896283E-2</v>
      </c>
      <c r="D134" s="23">
        <f t="shared" si="13"/>
        <v>5.3056897012000595E-4</v>
      </c>
      <c r="P134" s="456">
        <f t="shared" si="9"/>
        <v>2.5600000000000018</v>
      </c>
      <c r="Q134" s="23">
        <f t="shared" si="11"/>
        <v>0.10018341583039557</v>
      </c>
      <c r="R134" s="23">
        <f t="shared" si="11"/>
        <v>5.323570808589629E-2</v>
      </c>
      <c r="S134" s="23">
        <f t="shared" si="11"/>
        <v>5.3056897012000563E-4</v>
      </c>
    </row>
    <row r="135" spans="1:19" x14ac:dyDescent="0.25">
      <c r="A135" s="456">
        <f t="shared" si="12"/>
        <v>2.5800000000000018</v>
      </c>
      <c r="B135" s="23">
        <f t="shared" si="13"/>
        <v>9.8679277943062096E-2</v>
      </c>
      <c r="C135" s="23">
        <f t="shared" si="13"/>
        <v>5.1293551265133026E-2</v>
      </c>
      <c r="D135" s="23">
        <f t="shared" si="13"/>
        <v>4.680799099506741E-4</v>
      </c>
      <c r="P135" s="456">
        <f t="shared" si="9"/>
        <v>2.5800000000000018</v>
      </c>
      <c r="Q135" s="23">
        <f t="shared" si="11"/>
        <v>9.867927794306211E-2</v>
      </c>
      <c r="R135" s="23">
        <f t="shared" si="11"/>
        <v>5.1293551265133026E-2</v>
      </c>
      <c r="S135" s="23">
        <f t="shared" si="11"/>
        <v>4.6807990995067399E-4</v>
      </c>
    </row>
    <row r="136" spans="1:19" x14ac:dyDescent="0.25">
      <c r="A136" s="456">
        <f t="shared" si="12"/>
        <v>2.6000000000000019</v>
      </c>
      <c r="B136" s="23">
        <f t="shared" si="13"/>
        <v>9.7203259024292776E-2</v>
      </c>
      <c r="C136" s="23">
        <f t="shared" si="13"/>
        <v>4.9424598131725839E-2</v>
      </c>
      <c r="D136" s="23">
        <f t="shared" si="13"/>
        <v>4.1295472746542892E-4</v>
      </c>
      <c r="P136" s="456">
        <f t="shared" si="9"/>
        <v>2.6000000000000019</v>
      </c>
      <c r="Q136" s="23">
        <f t="shared" ref="Q136:S156" si="14">NORMDIST(LN($A136),Q$3,Q$4,FALSE)/$P136</f>
        <v>9.7203259024292735E-2</v>
      </c>
      <c r="R136" s="23">
        <f t="shared" si="14"/>
        <v>4.9424598131725818E-2</v>
      </c>
      <c r="S136" s="23">
        <f t="shared" si="14"/>
        <v>4.1295472746542952E-4</v>
      </c>
    </row>
    <row r="137" spans="1:19" x14ac:dyDescent="0.25">
      <c r="A137" s="456">
        <f t="shared" si="12"/>
        <v>2.6200000000000019</v>
      </c>
      <c r="B137" s="23">
        <f t="shared" si="13"/>
        <v>9.5754731769285298E-2</v>
      </c>
      <c r="C137" s="23">
        <f t="shared" si="13"/>
        <v>4.7626059300486891E-2</v>
      </c>
      <c r="D137" s="23">
        <f t="shared" si="13"/>
        <v>3.6432777265013247E-4</v>
      </c>
      <c r="P137" s="456">
        <f t="shared" ref="P137:P156" si="15">P136+0.02</f>
        <v>2.6200000000000019</v>
      </c>
      <c r="Q137" s="23">
        <f t="shared" si="14"/>
        <v>9.5754731769285256E-2</v>
      </c>
      <c r="R137" s="23">
        <f t="shared" si="14"/>
        <v>4.7626059300486863E-2</v>
      </c>
      <c r="S137" s="23">
        <f t="shared" si="14"/>
        <v>3.6432777265013285E-4</v>
      </c>
    </row>
    <row r="138" spans="1:19" x14ac:dyDescent="0.25">
      <c r="A138" s="456">
        <f t="shared" si="12"/>
        <v>2.6400000000000019</v>
      </c>
      <c r="B138" s="23">
        <f t="shared" si="13"/>
        <v>9.4333084920473612E-2</v>
      </c>
      <c r="C138" s="23">
        <f t="shared" si="13"/>
        <v>4.5895248683205617E-2</v>
      </c>
      <c r="D138" s="23">
        <f t="shared" si="13"/>
        <v>3.2143450974351232E-4</v>
      </c>
      <c r="P138" s="456">
        <f t="shared" si="15"/>
        <v>2.6400000000000019</v>
      </c>
      <c r="Q138" s="23">
        <f t="shared" si="14"/>
        <v>9.4333084920473584E-2</v>
      </c>
      <c r="R138" s="23">
        <f t="shared" si="14"/>
        <v>4.5895248683205617E-2</v>
      </c>
      <c r="S138" s="23">
        <f t="shared" si="14"/>
        <v>3.214345097435127E-4</v>
      </c>
    </row>
    <row r="139" spans="1:19" x14ac:dyDescent="0.25">
      <c r="A139" s="456">
        <f t="shared" si="12"/>
        <v>2.6600000000000019</v>
      </c>
      <c r="B139" s="23">
        <f t="shared" si="13"/>
        <v>9.2937722817300117E-2</v>
      </c>
      <c r="C139" s="23">
        <f t="shared" si="13"/>
        <v>4.4229580108151083E-2</v>
      </c>
      <c r="D139" s="23">
        <f t="shared" si="13"/>
        <v>2.8359984348259691E-4</v>
      </c>
      <c r="P139" s="456">
        <f t="shared" si="15"/>
        <v>2.6600000000000019</v>
      </c>
      <c r="Q139" s="23">
        <f t="shared" si="14"/>
        <v>9.2937722817300186E-2</v>
      </c>
      <c r="R139" s="23">
        <f t="shared" si="14"/>
        <v>4.422958010815109E-2</v>
      </c>
      <c r="S139" s="23">
        <f t="shared" si="14"/>
        <v>2.8359984348259686E-4</v>
      </c>
    </row>
    <row r="140" spans="1:19" x14ac:dyDescent="0.25">
      <c r="A140" s="456">
        <f t="shared" si="12"/>
        <v>2.6800000000000019</v>
      </c>
      <c r="B140" s="23">
        <f t="shared" si="13"/>
        <v>9.1568064958946524E-2</v>
      </c>
      <c r="C140" s="23">
        <f t="shared" si="13"/>
        <v>4.2626564003227091E-2</v>
      </c>
      <c r="D140" s="23">
        <f t="shared" si="13"/>
        <v>2.5022776734028338E-4</v>
      </c>
      <c r="P140" s="456">
        <f t="shared" si="15"/>
        <v>2.6800000000000019</v>
      </c>
      <c r="Q140" s="23">
        <f t="shared" si="14"/>
        <v>9.1568064958946538E-2</v>
      </c>
      <c r="R140" s="23">
        <f t="shared" si="14"/>
        <v>4.2626564003227098E-2</v>
      </c>
      <c r="S140" s="23">
        <f t="shared" si="14"/>
        <v>2.5022776734028322E-4</v>
      </c>
    </row>
    <row r="141" spans="1:19" x14ac:dyDescent="0.25">
      <c r="A141" s="456">
        <f t="shared" si="12"/>
        <v>2.700000000000002</v>
      </c>
      <c r="B141" s="23">
        <f t="shared" si="13"/>
        <v>9.0223545579696432E-2</v>
      </c>
      <c r="C141" s="23">
        <f t="shared" si="13"/>
        <v>4.1083804146770299E-2</v>
      </c>
      <c r="D141" s="23">
        <f t="shared" si="13"/>
        <v>2.2079218862315687E-4</v>
      </c>
      <c r="P141" s="456">
        <f t="shared" si="15"/>
        <v>2.700000000000002</v>
      </c>
      <c r="Q141" s="23">
        <f t="shared" si="14"/>
        <v>9.0223545579696404E-2</v>
      </c>
      <c r="R141" s="23">
        <f t="shared" si="14"/>
        <v>4.1083804146770306E-2</v>
      </c>
      <c r="S141" s="23">
        <f t="shared" si="14"/>
        <v>2.2079218862315695E-4</v>
      </c>
    </row>
    <row r="142" spans="1:19" x14ac:dyDescent="0.25">
      <c r="A142" s="456">
        <f t="shared" si="12"/>
        <v>2.720000000000002</v>
      </c>
      <c r="B142" s="23">
        <f t="shared" si="13"/>
        <v>8.8903613236608697E-2</v>
      </c>
      <c r="C142" s="23">
        <f t="shared" si="13"/>
        <v>3.9598994489249008E-2</v>
      </c>
      <c r="D142" s="23">
        <f t="shared" si="13"/>
        <v>1.9482880043645366E-4</v>
      </c>
      <c r="P142" s="456">
        <f t="shared" si="15"/>
        <v>2.720000000000002</v>
      </c>
      <c r="Q142" s="23">
        <f t="shared" si="14"/>
        <v>8.8903613236608656E-2</v>
      </c>
      <c r="R142" s="23">
        <f t="shared" si="14"/>
        <v>3.9598994489249001E-2</v>
      </c>
      <c r="S142" s="23">
        <f t="shared" si="14"/>
        <v>1.948288004364535E-4</v>
      </c>
    </row>
    <row r="143" spans="1:19" x14ac:dyDescent="0.25">
      <c r="A143" s="456">
        <f t="shared" si="12"/>
        <v>2.740000000000002</v>
      </c>
      <c r="B143" s="23">
        <f t="shared" si="13"/>
        <v>8.7607730409178727E-2</v>
      </c>
      <c r="C143" s="23">
        <f t="shared" si="13"/>
        <v>3.8169916048467159E-2</v>
      </c>
      <c r="D143" s="23">
        <f t="shared" si="13"/>
        <v>1.7192788422031854E-4</v>
      </c>
      <c r="P143" s="456">
        <f t="shared" si="15"/>
        <v>2.740000000000002</v>
      </c>
      <c r="Q143" s="23">
        <f t="shared" si="14"/>
        <v>8.7607730409178741E-2</v>
      </c>
      <c r="R143" s="23">
        <f t="shared" si="14"/>
        <v>3.8169916048467152E-2</v>
      </c>
      <c r="S143" s="23">
        <f t="shared" si="14"/>
        <v>1.7192788422031892E-4</v>
      </c>
    </row>
    <row r="144" spans="1:19" x14ac:dyDescent="0.25">
      <c r="A144" s="456">
        <f t="shared" si="12"/>
        <v>2.760000000000002</v>
      </c>
      <c r="B144" s="23">
        <f t="shared" si="13"/>
        <v>8.6335373110670272E-2</v>
      </c>
      <c r="C144" s="23">
        <f t="shared" si="13"/>
        <v>3.6794433880294609E-2</v>
      </c>
      <c r="D144" s="23">
        <f t="shared" si="13"/>
        <v>1.5172793893010515E-4</v>
      </c>
      <c r="P144" s="456">
        <f t="shared" si="15"/>
        <v>2.760000000000002</v>
      </c>
      <c r="Q144" s="23">
        <f t="shared" si="14"/>
        <v>8.6335373110670285E-2</v>
      </c>
      <c r="R144" s="23">
        <f t="shared" si="14"/>
        <v>3.6794433880294609E-2</v>
      </c>
      <c r="S144" s="23">
        <f t="shared" si="14"/>
        <v>1.5172793893010504E-4</v>
      </c>
    </row>
    <row r="145" spans="1:19" x14ac:dyDescent="0.25">
      <c r="A145" s="456">
        <f t="shared" si="12"/>
        <v>2.780000000000002</v>
      </c>
      <c r="B145" s="23">
        <f t="shared" si="13"/>
        <v>8.5086030510803198E-2</v>
      </c>
      <c r="C145" s="23">
        <f t="shared" si="13"/>
        <v>3.5470494126425542E-2</v>
      </c>
      <c r="D145" s="23">
        <f t="shared" si="13"/>
        <v>1.3391004408198586E-4</v>
      </c>
      <c r="P145" s="456">
        <f t="shared" si="15"/>
        <v>2.780000000000002</v>
      </c>
      <c r="Q145" s="23">
        <f t="shared" si="14"/>
        <v>8.5086030510803198E-2</v>
      </c>
      <c r="R145" s="23">
        <f t="shared" si="14"/>
        <v>3.5470494126425535E-2</v>
      </c>
      <c r="S145" s="23">
        <f t="shared" si="14"/>
        <v>1.3391004408198578E-4</v>
      </c>
    </row>
    <row r="146" spans="1:19" x14ac:dyDescent="0.25">
      <c r="A146" s="456">
        <f t="shared" si="12"/>
        <v>2.800000000000002</v>
      </c>
      <c r="B146" s="23">
        <f t="shared" si="13"/>
        <v>8.3859204569487575E-2</v>
      </c>
      <c r="C146" s="23">
        <f t="shared" si="13"/>
        <v>3.4196121140205385E-2</v>
      </c>
      <c r="D146" s="23">
        <f t="shared" si="13"/>
        <v>1.1819287391726589E-4</v>
      </c>
      <c r="P146" s="456">
        <f t="shared" si="15"/>
        <v>2.800000000000002</v>
      </c>
      <c r="Q146" s="23">
        <f t="shared" si="14"/>
        <v>8.3859204569487616E-2</v>
      </c>
      <c r="R146" s="23">
        <f t="shared" si="14"/>
        <v>3.4196121140205392E-2</v>
      </c>
      <c r="S146" s="23">
        <f t="shared" si="14"/>
        <v>1.1819287391726578E-4</v>
      </c>
    </row>
    <row r="147" spans="1:19" x14ac:dyDescent="0.25">
      <c r="A147" s="456">
        <f t="shared" si="12"/>
        <v>2.8200000000000021</v>
      </c>
      <c r="B147" s="23">
        <f t="shared" si="13"/>
        <v>8.2654409681298821E-2</v>
      </c>
      <c r="C147" s="23">
        <f t="shared" si="13"/>
        <v>3.2969414691159112E-2</v>
      </c>
      <c r="D147" s="23">
        <f t="shared" si="13"/>
        <v>1.0432828895222125E-4</v>
      </c>
      <c r="P147" s="456">
        <f t="shared" si="15"/>
        <v>2.8200000000000021</v>
      </c>
      <c r="Q147" s="23">
        <f t="shared" si="14"/>
        <v>8.2654409681298793E-2</v>
      </c>
      <c r="R147" s="23">
        <f t="shared" si="14"/>
        <v>3.2969414691159098E-2</v>
      </c>
      <c r="S147" s="23">
        <f t="shared" si="14"/>
        <v>1.0432828895222128E-4</v>
      </c>
    </row>
    <row r="148" spans="1:19" x14ac:dyDescent="0.25">
      <c r="A148" s="456">
        <f t="shared" si="12"/>
        <v>2.8400000000000021</v>
      </c>
      <c r="B148" s="23">
        <f t="shared" si="13"/>
        <v>8.1471172330392444E-2</v>
      </c>
      <c r="C148" s="23">
        <f t="shared" si="13"/>
        <v>3.1788547248492005E-2</v>
      </c>
      <c r="D148" s="23">
        <f t="shared" si="13"/>
        <v>9.2097439267029132E-5</v>
      </c>
      <c r="P148" s="456">
        <f t="shared" si="15"/>
        <v>2.8400000000000021</v>
      </c>
      <c r="Q148" s="23">
        <f t="shared" si="14"/>
        <v>8.1471172330392402E-2</v>
      </c>
      <c r="R148" s="23">
        <f t="shared" si="14"/>
        <v>3.1788547248491991E-2</v>
      </c>
      <c r="S148" s="23">
        <f t="shared" si="14"/>
        <v>9.2097439267028997E-5</v>
      </c>
    </row>
    <row r="149" spans="1:19" x14ac:dyDescent="0.25">
      <c r="A149" s="456">
        <f t="shared" si="12"/>
        <v>2.8600000000000021</v>
      </c>
      <c r="B149" s="23">
        <f t="shared" si="13"/>
        <v>8.0309030755565697E-2</v>
      </c>
      <c r="C149" s="23">
        <f t="shared" si="13"/>
        <v>3.0651761343517978E-2</v>
      </c>
      <c r="D149" s="23">
        <f t="shared" si="13"/>
        <v>8.1307321132949401E-5</v>
      </c>
      <c r="P149" s="456">
        <f t="shared" si="15"/>
        <v>2.8600000000000021</v>
      </c>
      <c r="Q149" s="23">
        <f t="shared" si="14"/>
        <v>8.0309030755565697E-2</v>
      </c>
      <c r="R149" s="23">
        <f t="shared" si="14"/>
        <v>3.0651761343517964E-2</v>
      </c>
      <c r="S149" s="23">
        <f t="shared" si="14"/>
        <v>8.1307321132949347E-5</v>
      </c>
    </row>
    <row r="150" spans="1:19" x14ac:dyDescent="0.25">
      <c r="A150" s="456">
        <f t="shared" si="12"/>
        <v>2.8800000000000021</v>
      </c>
      <c r="B150" s="23">
        <f t="shared" si="13"/>
        <v>7.9167534625174937E-2</v>
      </c>
      <c r="C150" s="23">
        <f t="shared" si="13"/>
        <v>2.9557367010690953E-2</v>
      </c>
      <c r="D150" s="23">
        <f t="shared" si="13"/>
        <v>7.1787735060942285E-5</v>
      </c>
      <c r="P150" s="456">
        <f t="shared" si="15"/>
        <v>2.8800000000000021</v>
      </c>
      <c r="Q150" s="23">
        <f t="shared" si="14"/>
        <v>7.9167534625174965E-2</v>
      </c>
      <c r="R150" s="23">
        <f t="shared" si="14"/>
        <v>2.9557367010690939E-2</v>
      </c>
      <c r="S150" s="23">
        <f t="shared" si="14"/>
        <v>7.1787735060942163E-5</v>
      </c>
    </row>
    <row r="151" spans="1:19" x14ac:dyDescent="0.25">
      <c r="A151" s="456">
        <f t="shared" si="12"/>
        <v>2.9000000000000021</v>
      </c>
      <c r="B151" s="23">
        <f t="shared" si="13"/>
        <v>7.8046244721626482E-2</v>
      </c>
      <c r="C151" s="23">
        <f t="shared" si="13"/>
        <v>2.8503739306672968E-2</v>
      </c>
      <c r="D151" s="23">
        <f t="shared" si="13"/>
        <v>6.3388599150696054E-5</v>
      </c>
      <c r="P151" s="456">
        <f t="shared" si="15"/>
        <v>2.9000000000000021</v>
      </c>
      <c r="Q151" s="23">
        <f t="shared" si="14"/>
        <v>7.8046244721626523E-2</v>
      </c>
      <c r="R151" s="23">
        <f t="shared" si="14"/>
        <v>2.8503739306672958E-2</v>
      </c>
      <c r="S151" s="23">
        <f t="shared" si="14"/>
        <v>6.3388599150696027E-5</v>
      </c>
    </row>
    <row r="152" spans="1:19" x14ac:dyDescent="0.25">
      <c r="A152" s="456">
        <f t="shared" si="12"/>
        <v>2.9200000000000021</v>
      </c>
      <c r="B152" s="23">
        <f t="shared" si="13"/>
        <v>7.6944732635163451E-2</v>
      </c>
      <c r="C152" s="23">
        <f t="shared" si="13"/>
        <v>2.7489315906661378E-2</v>
      </c>
      <c r="D152" s="23">
        <f t="shared" si="13"/>
        <v>5.5977576794179364E-5</v>
      </c>
      <c r="P152" s="456">
        <f t="shared" si="15"/>
        <v>2.9200000000000021</v>
      </c>
      <c r="Q152" s="23">
        <f t="shared" si="14"/>
        <v>7.6944732635163451E-2</v>
      </c>
      <c r="R152" s="23">
        <f t="shared" si="14"/>
        <v>2.7489315906661354E-2</v>
      </c>
      <c r="S152" s="23">
        <f t="shared" si="14"/>
        <v>5.5977576794179371E-5</v>
      </c>
    </row>
    <row r="153" spans="1:19" x14ac:dyDescent="0.25">
      <c r="A153" s="456">
        <f t="shared" si="12"/>
        <v>2.9400000000000022</v>
      </c>
      <c r="B153" s="23">
        <f t="shared" si="13"/>
        <v>7.5862580466677376E-2</v>
      </c>
      <c r="C153" s="23">
        <f t="shared" si="13"/>
        <v>2.6512594777014759E-2</v>
      </c>
      <c r="D153" s="23">
        <f t="shared" si="13"/>
        <v>4.9437982404133643E-5</v>
      </c>
      <c r="P153" s="456">
        <f t="shared" si="15"/>
        <v>2.9400000000000022</v>
      </c>
      <c r="Q153" s="23">
        <f t="shared" si="14"/>
        <v>7.5862580466677348E-2</v>
      </c>
      <c r="R153" s="23">
        <f t="shared" si="14"/>
        <v>2.6512594777014748E-2</v>
      </c>
      <c r="S153" s="23">
        <f t="shared" si="14"/>
        <v>4.9437982404133616E-5</v>
      </c>
    </row>
    <row r="154" spans="1:19" x14ac:dyDescent="0.25">
      <c r="A154" s="456">
        <f t="shared" si="12"/>
        <v>2.9600000000000022</v>
      </c>
      <c r="B154" s="23">
        <f t="shared" si="13"/>
        <v>7.4799380539280258E-2</v>
      </c>
      <c r="C154" s="23">
        <f t="shared" si="13"/>
        <v>2.5572131923062253E-2</v>
      </c>
      <c r="D154" s="23">
        <f t="shared" si="13"/>
        <v>4.3666932951965484E-5</v>
      </c>
      <c r="P154" s="456">
        <f t="shared" si="15"/>
        <v>2.9600000000000022</v>
      </c>
      <c r="Q154" s="23">
        <f t="shared" si="14"/>
        <v>7.4799380539280327E-2</v>
      </c>
      <c r="R154" s="23">
        <f t="shared" si="14"/>
        <v>2.5572131923062232E-2</v>
      </c>
      <c r="S154" s="23">
        <f t="shared" si="14"/>
        <v>4.366693295196545E-5</v>
      </c>
    </row>
    <row r="155" spans="1:19" x14ac:dyDescent="0.25">
      <c r="A155" s="456">
        <f t="shared" si="12"/>
        <v>2.9800000000000022</v>
      </c>
      <c r="B155" s="23">
        <f t="shared" si="13"/>
        <v>7.3754735118378448E-2</v>
      </c>
      <c r="C155" s="23">
        <f t="shared" si="13"/>
        <v>2.4666539210846064E-2</v>
      </c>
      <c r="D155" s="23">
        <f t="shared" si="13"/>
        <v>3.8573716762711011E-5</v>
      </c>
      <c r="P155" s="456">
        <f t="shared" si="15"/>
        <v>2.9800000000000022</v>
      </c>
      <c r="Q155" s="23">
        <f t="shared" si="14"/>
        <v>7.3754735118378434E-2</v>
      </c>
      <c r="R155" s="23">
        <f t="shared" si="14"/>
        <v>2.4666539210846047E-2</v>
      </c>
      <c r="S155" s="23">
        <f t="shared" si="14"/>
        <v>3.8573716762710943E-5</v>
      </c>
    </row>
    <row r="156" spans="1:19" x14ac:dyDescent="0.25">
      <c r="A156" s="456">
        <f>A155+0.02</f>
        <v>3.0000000000000022</v>
      </c>
      <c r="B156" s="23">
        <f t="shared" si="13"/>
        <v>7.272825613999459E-2</v>
      </c>
      <c r="C156" s="23">
        <f t="shared" si="13"/>
        <v>2.3794482261436475E-2</v>
      </c>
      <c r="D156" s="23">
        <f t="shared" si="13"/>
        <v>3.4078354273923709E-5</v>
      </c>
      <c r="P156" s="456">
        <f t="shared" si="15"/>
        <v>3.0000000000000022</v>
      </c>
      <c r="Q156" s="23">
        <f t="shared" si="14"/>
        <v>7.2728256139994604E-2</v>
      </c>
      <c r="R156" s="23">
        <f t="shared" si="14"/>
        <v>2.3794482261436462E-2</v>
      </c>
      <c r="S156" s="23">
        <f t="shared" si="14"/>
        <v>3.4078354273923696E-5</v>
      </c>
    </row>
  </sheetData>
  <pageMargins left="0.7" right="0.7" top="0.75" bottom="0.75" header="0.3" footer="0.3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2"/>
  <dimension ref="A1:G5"/>
  <sheetViews>
    <sheetView workbookViewId="0"/>
  </sheetViews>
  <sheetFormatPr defaultColWidth="9.140625" defaultRowHeight="15" x14ac:dyDescent="0.25"/>
  <cols>
    <col min="1" max="1" width="10.42578125" style="43" customWidth="1"/>
    <col min="2" max="16384" width="9.140625" style="43"/>
  </cols>
  <sheetData>
    <row r="1" spans="1:7" x14ac:dyDescent="0.25">
      <c r="A1" s="416" t="s">
        <v>1262</v>
      </c>
    </row>
    <row r="2" spans="1:7" x14ac:dyDescent="0.25">
      <c r="A2" s="416"/>
    </row>
    <row r="3" spans="1:7" x14ac:dyDescent="0.25">
      <c r="B3" s="417" t="s">
        <v>28</v>
      </c>
      <c r="C3" s="417" t="s">
        <v>29</v>
      </c>
      <c r="D3" s="417" t="s">
        <v>30</v>
      </c>
      <c r="F3" s="417" t="s">
        <v>250</v>
      </c>
      <c r="G3" s="417" t="s">
        <v>28</v>
      </c>
    </row>
    <row r="4" spans="1:7" x14ac:dyDescent="0.25">
      <c r="A4" s="43" t="s">
        <v>1001</v>
      </c>
      <c r="B4" s="60">
        <v>3</v>
      </c>
      <c r="C4" s="332">
        <f>_xlfn.LOGNORM.DIST(B4,4,8,FALSE)</f>
        <v>1.5564565599696323E-2</v>
      </c>
      <c r="D4" s="55">
        <f>_xlfn.LOGNORM.DIST(B4,4,8,TRUE)</f>
        <v>0.35842441235478845</v>
      </c>
      <c r="F4" s="60">
        <v>0.05</v>
      </c>
      <c r="G4" s="55">
        <f>_xlfn.LOGNORM.INV(F4,4,8)</f>
        <v>1.0528611428990445E-4</v>
      </c>
    </row>
    <row r="5" spans="1:7" x14ac:dyDescent="0.25">
      <c r="A5" s="43" t="s">
        <v>1000</v>
      </c>
      <c r="B5" s="336">
        <v>3</v>
      </c>
      <c r="C5" s="337">
        <f>NORMDIST(LN(B5),4,8,)/B5</f>
        <v>1.5564565599696309E-2</v>
      </c>
      <c r="D5" s="338">
        <f>LOGNORMDIST(B5,4,8)</f>
        <v>0.35842441235478845</v>
      </c>
      <c r="F5" s="336">
        <v>0.05</v>
      </c>
      <c r="G5" s="338">
        <f>EXP(NORMINV(F5,4,8))</f>
        <v>1.0528611428990445E-4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0"/>
  <dimension ref="A1:H32"/>
  <sheetViews>
    <sheetView workbookViewId="0"/>
  </sheetViews>
  <sheetFormatPr defaultRowHeight="15" x14ac:dyDescent="0.25"/>
  <cols>
    <col min="1" max="1" width="12.5703125" customWidth="1"/>
    <col min="4" max="4" width="9.28515625" customWidth="1"/>
  </cols>
  <sheetData>
    <row r="1" spans="1:8" x14ac:dyDescent="0.25">
      <c r="A1" s="1" t="s">
        <v>473</v>
      </c>
    </row>
    <row r="3" spans="1:8" x14ac:dyDescent="0.25">
      <c r="A3" t="s">
        <v>462</v>
      </c>
      <c r="B3" s="154">
        <v>80</v>
      </c>
      <c r="D3" s="154">
        <v>80</v>
      </c>
      <c r="F3" s="154">
        <v>80</v>
      </c>
      <c r="H3" s="154">
        <v>80</v>
      </c>
    </row>
    <row r="4" spans="1:8" x14ac:dyDescent="0.25">
      <c r="A4" t="s">
        <v>463</v>
      </c>
      <c r="B4" s="163">
        <v>20</v>
      </c>
      <c r="D4" s="163">
        <v>20</v>
      </c>
      <c r="F4" s="163">
        <v>20</v>
      </c>
      <c r="H4" s="163">
        <v>20</v>
      </c>
    </row>
    <row r="5" spans="1:8" x14ac:dyDescent="0.25">
      <c r="A5" t="s">
        <v>396</v>
      </c>
      <c r="B5" s="163">
        <v>60</v>
      </c>
      <c r="D5" s="163">
        <v>60</v>
      </c>
      <c r="F5" s="163">
        <v>60</v>
      </c>
      <c r="H5" s="163">
        <v>100</v>
      </c>
    </row>
    <row r="6" spans="1:8" x14ac:dyDescent="0.25">
      <c r="A6" t="s">
        <v>262</v>
      </c>
      <c r="B6" s="155">
        <v>0.05</v>
      </c>
      <c r="D6" s="155">
        <v>0.05</v>
      </c>
      <c r="F6" s="155">
        <v>0.05</v>
      </c>
      <c r="H6" s="155">
        <v>0.05</v>
      </c>
    </row>
    <row r="8" spans="1:8" x14ac:dyDescent="0.25">
      <c r="B8" t="s">
        <v>465</v>
      </c>
      <c r="D8" t="s">
        <v>467</v>
      </c>
      <c r="F8" t="s">
        <v>468</v>
      </c>
      <c r="H8" t="s">
        <v>468</v>
      </c>
    </row>
    <row r="10" spans="1:8" x14ac:dyDescent="0.25">
      <c r="A10" t="s">
        <v>358</v>
      </c>
      <c r="B10" s="154">
        <f>B4/SQRT(B5)</f>
        <v>2.5819888974716112</v>
      </c>
      <c r="D10" s="154">
        <f>D4/SQRT(D5)</f>
        <v>2.5819888974716112</v>
      </c>
      <c r="F10" s="154">
        <f>F4/SQRT(F5)</f>
        <v>2.5819888974716112</v>
      </c>
      <c r="H10" s="154">
        <f>H4/SQRT(H5)</f>
        <v>2</v>
      </c>
    </row>
    <row r="11" spans="1:8" x14ac:dyDescent="0.25">
      <c r="A11" t="s">
        <v>403</v>
      </c>
      <c r="B11" s="163">
        <v>75</v>
      </c>
      <c r="D11" s="163">
        <v>75</v>
      </c>
      <c r="F11" s="163">
        <v>75</v>
      </c>
      <c r="H11" s="163">
        <v>75</v>
      </c>
    </row>
    <row r="12" spans="1:8" x14ac:dyDescent="0.25">
      <c r="A12" t="s">
        <v>182</v>
      </c>
      <c r="B12" s="163">
        <f>NORMDIST(B11,B3,B10,TRUE)</f>
        <v>2.6403755708056795E-2</v>
      </c>
      <c r="D12" s="163">
        <f>1-NORMDIST(D11,D3,D10,TRUE)</f>
        <v>0.97359624429194325</v>
      </c>
      <c r="F12" s="163">
        <f>NORMDIST(F11,F3,F10,TRUE)</f>
        <v>2.6403755708056795E-2</v>
      </c>
      <c r="H12" s="163">
        <f>NORMDIST(H11,H3,H10,TRUE)</f>
        <v>6.2096653257761331E-3</v>
      </c>
    </row>
    <row r="13" spans="1:8" x14ac:dyDescent="0.25">
      <c r="A13" t="s">
        <v>464</v>
      </c>
      <c r="B13" s="163">
        <f>NORMINV(B6,B3,B10)</f>
        <v>75.753006197245384</v>
      </c>
      <c r="D13" s="163">
        <f>NORMINV(1-D6,D3,D10)</f>
        <v>84.246993802754616</v>
      </c>
      <c r="F13" s="163">
        <f>NORMINV(F6/2,F3,F10)</f>
        <v>74.939394752473362</v>
      </c>
      <c r="H13" s="163">
        <f>NORMINV(H6/2,H3,H10)</f>
        <v>76.080072030919894</v>
      </c>
    </row>
    <row r="14" spans="1:8" x14ac:dyDescent="0.25">
      <c r="A14" t="s">
        <v>381</v>
      </c>
      <c r="B14" s="182" t="str">
        <f>IF(B12&lt;B6,"yes","no")</f>
        <v>yes</v>
      </c>
      <c r="D14" s="182" t="str">
        <f>IF(D12&lt;1-D6,"yes","no")</f>
        <v>no</v>
      </c>
      <c r="F14" s="182" t="str">
        <f>IF(F12&lt;F6/2,"yes","no")</f>
        <v>no</v>
      </c>
      <c r="H14" s="182" t="str">
        <f>IF(H12&lt;H6/2,"yes","no")</f>
        <v>yes</v>
      </c>
    </row>
    <row r="15" spans="1:8" x14ac:dyDescent="0.25">
      <c r="B15" s="163"/>
      <c r="D15" s="163"/>
      <c r="F15" s="163"/>
      <c r="H15" s="163"/>
    </row>
    <row r="16" spans="1:8" x14ac:dyDescent="0.25">
      <c r="A16" t="s">
        <v>466</v>
      </c>
      <c r="B16" s="163">
        <f>(B11-B3)/B10</f>
        <v>-1.9364916731037085</v>
      </c>
      <c r="D16" s="163">
        <f>(D11-D3)/D10</f>
        <v>-1.9364916731037085</v>
      </c>
      <c r="F16" s="163">
        <f>(F11-F3)/F10</f>
        <v>-1.9364916731037085</v>
      </c>
      <c r="H16" s="163">
        <f>(H11-H3)/H10</f>
        <v>-2.5</v>
      </c>
    </row>
    <row r="17" spans="1:8" x14ac:dyDescent="0.25">
      <c r="A17" t="s">
        <v>182</v>
      </c>
      <c r="B17" s="163">
        <f>NORMSDIST(B16)</f>
        <v>2.6403755708056795E-2</v>
      </c>
      <c r="D17" s="163">
        <f>1-NORMSDIST(D16)</f>
        <v>0.97359624429194325</v>
      </c>
      <c r="F17" s="163">
        <f>NORMSDIST(F16/2)</f>
        <v>0.16646080403278293</v>
      </c>
      <c r="H17" s="163">
        <f>NORMSDIST(H16/2)</f>
        <v>0.10564977366685525</v>
      </c>
    </row>
    <row r="18" spans="1:8" x14ac:dyDescent="0.25">
      <c r="A18" t="s">
        <v>464</v>
      </c>
      <c r="B18" s="163">
        <f>NORMSINV(B6)</f>
        <v>-1.6448536269514726</v>
      </c>
      <c r="D18" s="163">
        <f>NORMSINV(1-D6)</f>
        <v>1.6448536269514715</v>
      </c>
      <c r="F18" s="163">
        <f>NORMSINV(F6/2)</f>
        <v>-1.9599639845400538</v>
      </c>
      <c r="H18" s="163">
        <f>NORMSINV(H6/2)</f>
        <v>-1.9599639845400538</v>
      </c>
    </row>
    <row r="19" spans="1:8" x14ac:dyDescent="0.25">
      <c r="A19" t="s">
        <v>381</v>
      </c>
      <c r="B19" s="152" t="str">
        <f>IF(B16&lt;B18,"yes","no")</f>
        <v>yes</v>
      </c>
      <c r="D19" s="152" t="str">
        <f>IF(D18&lt;D16,"yes","no")</f>
        <v>no</v>
      </c>
      <c r="F19" s="152" t="str">
        <f>IF(F16&lt;F18,"yes","no")</f>
        <v>no</v>
      </c>
      <c r="H19" s="152" t="str">
        <f>IF(H16&lt;H18,"yes","no")</f>
        <v>yes</v>
      </c>
    </row>
    <row r="21" spans="1:8" x14ac:dyDescent="0.25">
      <c r="A21" s="1" t="s">
        <v>469</v>
      </c>
    </row>
    <row r="23" spans="1:8" x14ac:dyDescent="0.25">
      <c r="A23" t="s">
        <v>470</v>
      </c>
      <c r="F23" s="154">
        <f>ABS(F10*F18)</f>
        <v>5.0606052475266399</v>
      </c>
      <c r="H23" s="154">
        <f>ABS(H10*H18)</f>
        <v>3.9199279690801077</v>
      </c>
    </row>
    <row r="24" spans="1:8" x14ac:dyDescent="0.25">
      <c r="A24" t="s">
        <v>102</v>
      </c>
      <c r="F24" s="163">
        <f>F11-F23</f>
        <v>69.939394752473362</v>
      </c>
      <c r="H24" s="163">
        <f>H11-H23</f>
        <v>71.080072030919894</v>
      </c>
    </row>
    <row r="25" spans="1:8" x14ac:dyDescent="0.25">
      <c r="A25" t="s">
        <v>103</v>
      </c>
      <c r="F25" s="155">
        <f>F11+F23</f>
        <v>80.060605247526638</v>
      </c>
      <c r="H25" s="155">
        <f>H11+H23</f>
        <v>78.919927969080106</v>
      </c>
    </row>
    <row r="28" spans="1:8" x14ac:dyDescent="0.25">
      <c r="A28" t="s">
        <v>471</v>
      </c>
      <c r="F28" s="165">
        <f>CONFIDENCE(F6,F4,F5)</f>
        <v>5.060605247526639</v>
      </c>
      <c r="H28" s="165">
        <f>CONFIDENCE(H6,H4,H5)</f>
        <v>3.9199279690801072</v>
      </c>
    </row>
    <row r="30" spans="1:8" x14ac:dyDescent="0.25">
      <c r="A30" s="1" t="s">
        <v>302</v>
      </c>
    </row>
    <row r="32" spans="1:8" x14ac:dyDescent="0.25">
      <c r="A32" t="s">
        <v>139</v>
      </c>
      <c r="B32">
        <f>ABS(B3-B11)/B4</f>
        <v>0.25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1"/>
  <dimension ref="A1:T17"/>
  <sheetViews>
    <sheetView workbookViewId="0"/>
  </sheetViews>
  <sheetFormatPr defaultRowHeight="15" x14ac:dyDescent="0.25"/>
  <cols>
    <col min="1" max="6" width="5.5703125" customWidth="1"/>
    <col min="7" max="7" width="5.7109375" customWidth="1"/>
    <col min="8" max="8" width="14.85546875" customWidth="1"/>
    <col min="10" max="10" width="3.5703125" customWidth="1"/>
    <col min="11" max="11" width="28.28515625" customWidth="1"/>
    <col min="12" max="12" width="6" customWidth="1"/>
    <col min="14" max="14" width="3.42578125" customWidth="1"/>
    <col min="15" max="15" width="26.28515625" customWidth="1"/>
    <col min="16" max="16" width="6" customWidth="1"/>
    <col min="17" max="17" width="14.28515625" customWidth="1"/>
    <col min="19" max="19" width="3.5703125" customWidth="1"/>
    <col min="20" max="20" width="27" customWidth="1"/>
  </cols>
  <sheetData>
    <row r="1" spans="1:20" x14ac:dyDescent="0.25">
      <c r="A1" s="1" t="s">
        <v>473</v>
      </c>
      <c r="H1" t="s">
        <v>1001</v>
      </c>
      <c r="M1" t="s">
        <v>1002</v>
      </c>
      <c r="Q1" t="s">
        <v>1000</v>
      </c>
    </row>
    <row r="3" spans="1:20" x14ac:dyDescent="0.25">
      <c r="A3" s="156">
        <v>137</v>
      </c>
      <c r="B3" s="171">
        <v>73</v>
      </c>
      <c r="C3" s="171">
        <v>99</v>
      </c>
      <c r="D3" s="171">
        <v>113</v>
      </c>
      <c r="E3" s="171">
        <v>96</v>
      </c>
      <c r="F3" s="172">
        <v>135</v>
      </c>
      <c r="H3" t="s">
        <v>472</v>
      </c>
      <c r="I3" s="165">
        <f>_xlfn.Z.TEST(A3:F10,100)</f>
        <v>0.13513025209397578</v>
      </c>
      <c r="K3" s="22" t="e">
        <f ca="1">FTEXT(I3)</f>
        <v>#NAME?</v>
      </c>
      <c r="Q3" t="s">
        <v>472</v>
      </c>
      <c r="R3" s="377">
        <f>ZTEST(A3:F10,100)</f>
        <v>0.13513025209397578</v>
      </c>
      <c r="T3" s="22" t="e">
        <f ca="1">FTEXT(R3)</f>
        <v>#NAME?</v>
      </c>
    </row>
    <row r="4" spans="1:20" x14ac:dyDescent="0.25">
      <c r="A4" s="166">
        <v>111</v>
      </c>
      <c r="B4" s="8">
        <v>83</v>
      </c>
      <c r="C4" s="8">
        <v>74</v>
      </c>
      <c r="D4" s="8">
        <v>68</v>
      </c>
      <c r="E4" s="8">
        <v>137</v>
      </c>
      <c r="F4" s="167">
        <v>107</v>
      </c>
      <c r="K4" s="22"/>
    </row>
    <row r="5" spans="1:20" x14ac:dyDescent="0.25">
      <c r="A5" s="166">
        <v>72</v>
      </c>
      <c r="B5" s="8">
        <v>98</v>
      </c>
      <c r="C5" s="8">
        <v>84</v>
      </c>
      <c r="D5" s="8">
        <v>70</v>
      </c>
      <c r="E5" s="8">
        <v>116</v>
      </c>
      <c r="F5" s="167">
        <v>98</v>
      </c>
      <c r="H5" t="s">
        <v>396</v>
      </c>
      <c r="I5" s="154">
        <f>COUNT(A3:F10)</f>
        <v>48</v>
      </c>
      <c r="K5" s="22" t="e">
        <f ca="1">FTEXT(I5)</f>
        <v>#NAME?</v>
      </c>
      <c r="Q5" t="s">
        <v>396</v>
      </c>
      <c r="R5" s="325">
        <f>COUNT(A3:F10)</f>
        <v>48</v>
      </c>
      <c r="T5" s="22" t="e">
        <f ca="1">FTEXT(R5)</f>
        <v>#NAME?</v>
      </c>
    </row>
    <row r="6" spans="1:20" x14ac:dyDescent="0.25">
      <c r="A6" s="166">
        <v>115</v>
      </c>
      <c r="B6" s="8">
        <v>131</v>
      </c>
      <c r="C6" s="8">
        <v>113</v>
      </c>
      <c r="D6" s="8">
        <v>63</v>
      </c>
      <c r="E6" s="8">
        <v>119</v>
      </c>
      <c r="F6" s="167">
        <v>128</v>
      </c>
      <c r="H6" t="s">
        <v>474</v>
      </c>
      <c r="I6" s="163">
        <v>100</v>
      </c>
      <c r="K6" s="22"/>
      <c r="Q6" t="s">
        <v>474</v>
      </c>
      <c r="R6" s="163">
        <v>100</v>
      </c>
    </row>
    <row r="7" spans="1:20" x14ac:dyDescent="0.25">
      <c r="A7" s="166">
        <v>138</v>
      </c>
      <c r="B7" s="8">
        <v>73</v>
      </c>
      <c r="C7" s="8">
        <v>115</v>
      </c>
      <c r="D7" s="8">
        <v>124</v>
      </c>
      <c r="E7" s="8">
        <v>101</v>
      </c>
      <c r="F7" s="167">
        <v>97</v>
      </c>
      <c r="H7" t="s">
        <v>403</v>
      </c>
      <c r="I7" s="163">
        <f>AVERAGE(A3:F10)</f>
        <v>103.8125</v>
      </c>
      <c r="K7" s="22" t="e">
        <f ca="1">FTEXT(I7)</f>
        <v>#NAME?</v>
      </c>
      <c r="Q7" t="s">
        <v>403</v>
      </c>
      <c r="R7" s="326">
        <f>AVERAGE(A3:F10)</f>
        <v>103.8125</v>
      </c>
      <c r="T7" s="22" t="e">
        <f ca="1">FTEXT(R7)</f>
        <v>#NAME?</v>
      </c>
    </row>
    <row r="8" spans="1:20" x14ac:dyDescent="0.25">
      <c r="A8" s="166">
        <v>82</v>
      </c>
      <c r="B8" s="8">
        <v>133</v>
      </c>
      <c r="C8" s="8">
        <v>111</v>
      </c>
      <c r="D8" s="8">
        <v>132</v>
      </c>
      <c r="E8" s="8">
        <v>65</v>
      </c>
      <c r="F8" s="167">
        <v>132</v>
      </c>
      <c r="H8" t="s">
        <v>199</v>
      </c>
      <c r="I8" s="163">
        <f>_xlfn.STDEV.S(A3:F10)</f>
        <v>23.958879888924585</v>
      </c>
      <c r="K8" s="22" t="e">
        <f ca="1">FTEXT(I8)</f>
        <v>#NAME?</v>
      </c>
      <c r="Q8" t="s">
        <v>199</v>
      </c>
      <c r="R8" s="326">
        <f>STDEV(A3:F10)</f>
        <v>23.958879888924585</v>
      </c>
      <c r="T8" s="22" t="e">
        <f ca="1">FTEXT(R8)</f>
        <v>#NAME?</v>
      </c>
    </row>
    <row r="9" spans="1:20" x14ac:dyDescent="0.25">
      <c r="A9" s="166">
        <v>76</v>
      </c>
      <c r="B9" s="8">
        <v>92</v>
      </c>
      <c r="C9" s="8">
        <v>101</v>
      </c>
      <c r="D9" s="8">
        <v>134</v>
      </c>
      <c r="E9" s="8">
        <v>113</v>
      </c>
      <c r="F9" s="167">
        <v>75</v>
      </c>
      <c r="H9" t="s">
        <v>424</v>
      </c>
      <c r="I9" s="163">
        <f>I8/SQRT(I5)</f>
        <v>3.4581664383381301</v>
      </c>
      <c r="K9" s="22" t="e">
        <f ca="1">FTEXT(I9)</f>
        <v>#NAME?</v>
      </c>
      <c r="M9" s="205" t="e">
        <f ca="1">STDERR(A3:F10)</f>
        <v>#NAME?</v>
      </c>
      <c r="O9" s="22" t="e">
        <f ca="1">FTEXT(M9)</f>
        <v>#NAME?</v>
      </c>
      <c r="Q9" t="s">
        <v>424</v>
      </c>
      <c r="R9" s="326">
        <f>R8/SQRT(R5)</f>
        <v>3.4581664383381301</v>
      </c>
      <c r="T9" s="22" t="e">
        <f ca="1">FTEXT(R9)</f>
        <v>#NAME?</v>
      </c>
    </row>
    <row r="10" spans="1:20" x14ac:dyDescent="0.25">
      <c r="A10" s="148">
        <v>100</v>
      </c>
      <c r="B10" s="149">
        <v>98</v>
      </c>
      <c r="C10" s="149">
        <v>114</v>
      </c>
      <c r="D10" s="149">
        <v>140</v>
      </c>
      <c r="E10" s="149">
        <v>64</v>
      </c>
      <c r="F10" s="153">
        <v>133</v>
      </c>
      <c r="H10" t="s">
        <v>182</v>
      </c>
      <c r="I10" s="155">
        <f>1-_xlfn.NORM.DIST(I7,I6,I9,TRUE)</f>
        <v>0.13513025209397567</v>
      </c>
      <c r="K10" s="22" t="e">
        <f ca="1">FTEXT(I10)</f>
        <v>#NAME?</v>
      </c>
      <c r="Q10" t="s">
        <v>182</v>
      </c>
      <c r="R10" s="378">
        <f>1-NORMDIST(R7,R6,R9,TRUE)</f>
        <v>0.13513025209397567</v>
      </c>
      <c r="T10" s="22" t="e">
        <f ca="1">FTEXT(R10)</f>
        <v>#NAME?</v>
      </c>
    </row>
    <row r="11" spans="1:20" x14ac:dyDescent="0.25">
      <c r="K11" s="22"/>
    </row>
    <row r="12" spans="1:20" x14ac:dyDescent="0.25">
      <c r="H12" t="s">
        <v>262</v>
      </c>
      <c r="I12" s="154">
        <v>0.05</v>
      </c>
      <c r="K12" s="22"/>
      <c r="Q12" t="s">
        <v>262</v>
      </c>
      <c r="R12" s="315">
        <v>0.05</v>
      </c>
    </row>
    <row r="13" spans="1:20" x14ac:dyDescent="0.25">
      <c r="H13" t="s">
        <v>1263</v>
      </c>
      <c r="I13" s="163">
        <f>_xlfn.CONFIDENCE.NORM(I12,I8,I5)</f>
        <v>6.7778816716878874</v>
      </c>
      <c r="K13" s="22" t="e">
        <f ca="1">FTEXT(I13)</f>
        <v>#NAME?</v>
      </c>
      <c r="M13" s="293" t="e">
        <f ca="1">NORM_CONF(A3:F10,I12)</f>
        <v>#NAME?</v>
      </c>
      <c r="O13" s="22" t="e">
        <f ca="1">FTEXT(M13)</f>
        <v>#NAME?</v>
      </c>
      <c r="Q13" t="s">
        <v>1263</v>
      </c>
      <c r="R13" s="326">
        <f>CONFIDENCE(R12,R8,R5)</f>
        <v>6.7778816716878874</v>
      </c>
      <c r="T13" s="22" t="e">
        <f ca="1">FTEXT(R13)</f>
        <v>#NAME?</v>
      </c>
    </row>
    <row r="14" spans="1:20" x14ac:dyDescent="0.25">
      <c r="H14" t="s">
        <v>102</v>
      </c>
      <c r="I14" s="163">
        <f>I7-I13</f>
        <v>97.034618328312106</v>
      </c>
      <c r="K14" s="22" t="e">
        <f ca="1">FTEXT(I14)</f>
        <v>#NAME?</v>
      </c>
      <c r="M14" s="163" t="e">
        <f ca="1">NORM_LOWER(A3:F10,I12)</f>
        <v>#NAME?</v>
      </c>
      <c r="O14" s="22" t="s">
        <v>752</v>
      </c>
      <c r="Q14" t="s">
        <v>102</v>
      </c>
      <c r="R14" s="326">
        <f>R7-R13</f>
        <v>97.034618328312106</v>
      </c>
      <c r="T14" s="22" t="e">
        <f ca="1">FTEXT(R14)</f>
        <v>#NAME?</v>
      </c>
    </row>
    <row r="15" spans="1:20" x14ac:dyDescent="0.25">
      <c r="H15" t="s">
        <v>103</v>
      </c>
      <c r="I15" s="155">
        <f>I7+I13</f>
        <v>110.59038167168789</v>
      </c>
      <c r="K15" s="22" t="e">
        <f ca="1">FTEXT(I15)</f>
        <v>#NAME?</v>
      </c>
      <c r="M15" s="155" t="e">
        <f ca="1">NORM_UPPER(A3:F10,I12)</f>
        <v>#NAME?</v>
      </c>
      <c r="O15" s="22" t="e">
        <f ca="1">FTEXT(M15)</f>
        <v>#NAME?</v>
      </c>
      <c r="Q15" t="s">
        <v>103</v>
      </c>
      <c r="R15" s="378">
        <f>R7+R13</f>
        <v>110.59038167168789</v>
      </c>
      <c r="T15" s="22" t="e">
        <f ca="1">FTEXT(R15)</f>
        <v>#NAME?</v>
      </c>
    </row>
    <row r="17" spans="15:15" x14ac:dyDescent="0.25">
      <c r="O17" s="97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2"/>
  <dimension ref="A1:R35"/>
  <sheetViews>
    <sheetView workbookViewId="0"/>
  </sheetViews>
  <sheetFormatPr defaultRowHeight="15" x14ac:dyDescent="0.25"/>
  <cols>
    <col min="1" max="6" width="7.42578125" customWidth="1"/>
    <col min="7" max="7" width="6.42578125" customWidth="1"/>
    <col min="8" max="8" width="15.85546875" customWidth="1"/>
    <col min="11" max="11" width="24.5703125" customWidth="1"/>
    <col min="16" max="16" width="29.42578125" customWidth="1"/>
  </cols>
  <sheetData>
    <row r="1" spans="1:18" x14ac:dyDescent="0.25">
      <c r="A1" s="1" t="s">
        <v>481</v>
      </c>
      <c r="H1" t="s">
        <v>1001</v>
      </c>
    </row>
    <row r="2" spans="1:18" x14ac:dyDescent="0.25">
      <c r="A2" s="1"/>
    </row>
    <row r="3" spans="1:18" x14ac:dyDescent="0.25">
      <c r="A3" s="596" t="s">
        <v>218</v>
      </c>
      <c r="B3" s="596"/>
      <c r="C3" s="596"/>
      <c r="D3" s="596" t="s">
        <v>482</v>
      </c>
      <c r="E3" s="596"/>
      <c r="F3" s="596"/>
      <c r="I3" t="s">
        <v>218</v>
      </c>
      <c r="J3" t="s">
        <v>482</v>
      </c>
      <c r="M3" s="177" t="s">
        <v>218</v>
      </c>
      <c r="N3" s="177" t="s">
        <v>482</v>
      </c>
      <c r="O3" s="191"/>
      <c r="P3" t="s">
        <v>475</v>
      </c>
    </row>
    <row r="4" spans="1:18" ht="15.75" thickBot="1" x14ac:dyDescent="0.3">
      <c r="A4" s="183">
        <v>82.67</v>
      </c>
      <c r="B4" s="184">
        <v>89.03</v>
      </c>
      <c r="C4" s="184">
        <v>109.13</v>
      </c>
      <c r="D4" s="183">
        <v>106.18</v>
      </c>
      <c r="E4" s="184">
        <v>95.47</v>
      </c>
      <c r="F4" s="185">
        <v>117.51</v>
      </c>
      <c r="H4" t="s">
        <v>396</v>
      </c>
      <c r="I4" s="156">
        <f>COUNT(A4:C13)</f>
        <v>30</v>
      </c>
      <c r="J4" s="172">
        <f>COUNT(D4:F13)</f>
        <v>30</v>
      </c>
      <c r="M4" s="77">
        <v>82.67</v>
      </c>
      <c r="N4" s="77">
        <v>106.18</v>
      </c>
      <c r="O4" s="8"/>
    </row>
    <row r="5" spans="1:18" x14ac:dyDescent="0.25">
      <c r="A5" s="186">
        <v>90.11</v>
      </c>
      <c r="B5" s="77">
        <v>94.51</v>
      </c>
      <c r="C5" s="77">
        <v>81.59</v>
      </c>
      <c r="D5" s="186">
        <v>100.86</v>
      </c>
      <c r="E5" s="77">
        <v>108.66</v>
      </c>
      <c r="F5" s="187">
        <v>115.64</v>
      </c>
      <c r="H5" t="s">
        <v>403</v>
      </c>
      <c r="I5" s="188">
        <f>AVERAGE(A4:C13)</f>
        <v>95.737333333333339</v>
      </c>
      <c r="J5" s="190">
        <f>AVERAGE(D4:F13)</f>
        <v>106.691</v>
      </c>
      <c r="M5" s="77">
        <v>90.11</v>
      </c>
      <c r="N5" s="77">
        <v>100.86</v>
      </c>
      <c r="O5" s="8"/>
      <c r="P5" s="178"/>
      <c r="Q5" s="178" t="s">
        <v>218</v>
      </c>
      <c r="R5" s="178" t="s">
        <v>482</v>
      </c>
    </row>
    <row r="6" spans="1:18" x14ac:dyDescent="0.25">
      <c r="A6" s="186">
        <v>89.2</v>
      </c>
      <c r="B6" s="77">
        <v>93.32</v>
      </c>
      <c r="C6" s="77">
        <v>94.99</v>
      </c>
      <c r="D6" s="186">
        <v>129.85</v>
      </c>
      <c r="E6" s="77">
        <v>83.32</v>
      </c>
      <c r="F6" s="187">
        <v>97.22</v>
      </c>
      <c r="M6" s="77">
        <v>89.2</v>
      </c>
      <c r="N6" s="77">
        <v>129.85</v>
      </c>
      <c r="O6" s="8"/>
      <c r="P6" s="27" t="s">
        <v>75</v>
      </c>
      <c r="Q6" s="27">
        <v>95.737333333333325</v>
      </c>
      <c r="R6" s="27">
        <v>106.691</v>
      </c>
    </row>
    <row r="7" spans="1:18" x14ac:dyDescent="0.25">
      <c r="A7" s="186">
        <v>119.15</v>
      </c>
      <c r="B7" s="77">
        <v>89.26</v>
      </c>
      <c r="C7" s="77">
        <v>101.34</v>
      </c>
      <c r="D7" s="186">
        <v>100.3</v>
      </c>
      <c r="E7" s="77">
        <v>117.64</v>
      </c>
      <c r="F7" s="187">
        <v>131.04</v>
      </c>
      <c r="H7" t="s">
        <v>483</v>
      </c>
      <c r="I7" s="154">
        <f>16^2</f>
        <v>256</v>
      </c>
      <c r="K7" s="8"/>
      <c r="M7" s="77">
        <v>119.15</v>
      </c>
      <c r="N7" s="77">
        <v>100.3</v>
      </c>
      <c r="O7" s="8"/>
      <c r="P7" s="27" t="s">
        <v>476</v>
      </c>
      <c r="Q7" s="27">
        <v>256</v>
      </c>
      <c r="R7" s="27">
        <v>256</v>
      </c>
    </row>
    <row r="8" spans="1:18" x14ac:dyDescent="0.25">
      <c r="A8" s="186">
        <v>83.01</v>
      </c>
      <c r="B8" s="77">
        <v>110.36</v>
      </c>
      <c r="C8" s="77">
        <v>104.82</v>
      </c>
      <c r="D8" s="186">
        <v>87.56</v>
      </c>
      <c r="E8" s="77">
        <v>96.9</v>
      </c>
      <c r="F8" s="187">
        <v>101.58</v>
      </c>
      <c r="H8" t="s">
        <v>262</v>
      </c>
      <c r="I8" s="163">
        <v>0.05</v>
      </c>
      <c r="K8" s="77"/>
      <c r="M8" s="77">
        <v>83.01</v>
      </c>
      <c r="N8" s="77">
        <v>87.56</v>
      </c>
      <c r="O8" s="8"/>
      <c r="P8" s="27" t="s">
        <v>205</v>
      </c>
      <c r="Q8" s="27">
        <v>30</v>
      </c>
      <c r="R8" s="27">
        <v>30</v>
      </c>
    </row>
    <row r="9" spans="1:18" x14ac:dyDescent="0.25">
      <c r="A9" s="186">
        <v>93.61</v>
      </c>
      <c r="B9" s="77">
        <v>92.52</v>
      </c>
      <c r="C9" s="77">
        <v>106.92</v>
      </c>
      <c r="D9" s="186">
        <v>96.87</v>
      </c>
      <c r="E9" s="77">
        <v>66.459999999999994</v>
      </c>
      <c r="F9" s="187">
        <v>103.8</v>
      </c>
      <c r="H9" t="s">
        <v>484</v>
      </c>
      <c r="I9" s="163">
        <f>I7/I4+I7/J4</f>
        <v>17.066666666666666</v>
      </c>
      <c r="K9" s="22" t="e">
        <f ca="1">FTEXT(I9)</f>
        <v>#NAME?</v>
      </c>
      <c r="M9" s="77">
        <v>93.61</v>
      </c>
      <c r="N9" s="77">
        <v>96.87</v>
      </c>
      <c r="O9" s="8"/>
      <c r="P9" s="27" t="s">
        <v>208</v>
      </c>
      <c r="Q9" s="27">
        <v>0</v>
      </c>
      <c r="R9" s="27"/>
    </row>
    <row r="10" spans="1:18" x14ac:dyDescent="0.25">
      <c r="A10" s="186">
        <v>88.42</v>
      </c>
      <c r="B10" s="77">
        <v>112.87</v>
      </c>
      <c r="C10" s="77">
        <v>80.5</v>
      </c>
      <c r="D10" s="186">
        <v>112.57</v>
      </c>
      <c r="E10" s="77">
        <v>87.8</v>
      </c>
      <c r="F10" s="187">
        <v>111.99</v>
      </c>
      <c r="H10" t="s">
        <v>485</v>
      </c>
      <c r="I10" s="163">
        <f>SQRT(I9)</f>
        <v>4.1311822359545776</v>
      </c>
      <c r="K10" s="22" t="e">
        <f ca="1">FTEXT(I10)</f>
        <v>#NAME?</v>
      </c>
      <c r="M10" s="77">
        <v>88.42</v>
      </c>
      <c r="N10" s="77">
        <v>112.57</v>
      </c>
      <c r="O10" s="8"/>
      <c r="P10" s="27" t="s">
        <v>124</v>
      </c>
      <c r="Q10" s="27">
        <v>-2.6514605362442096</v>
      </c>
      <c r="R10" s="27"/>
    </row>
    <row r="11" spans="1:18" x14ac:dyDescent="0.25">
      <c r="A11" s="186">
        <v>97.02</v>
      </c>
      <c r="B11" s="77">
        <v>64.05</v>
      </c>
      <c r="C11" s="77">
        <v>106.31</v>
      </c>
      <c r="D11" s="186">
        <v>148.36000000000001</v>
      </c>
      <c r="E11" s="77">
        <v>115.52</v>
      </c>
      <c r="F11" s="187">
        <v>119.34</v>
      </c>
      <c r="H11" t="s">
        <v>466</v>
      </c>
      <c r="I11" s="163">
        <f>(I5-J5)/I10</f>
        <v>-2.6514605362442061</v>
      </c>
      <c r="K11" s="22" t="e">
        <f ca="1">FTEXT(I11)</f>
        <v>#NAME?</v>
      </c>
      <c r="M11" s="77">
        <v>97.02</v>
      </c>
      <c r="N11" s="77">
        <v>148.36000000000001</v>
      </c>
      <c r="O11" s="8"/>
      <c r="P11" s="27" t="s">
        <v>477</v>
      </c>
      <c r="Q11" s="27">
        <v>4.0072239112937114E-3</v>
      </c>
      <c r="R11" s="27"/>
    </row>
    <row r="12" spans="1:18" x14ac:dyDescent="0.25">
      <c r="A12" s="186">
        <v>126.11</v>
      </c>
      <c r="B12" s="77">
        <v>80.06</v>
      </c>
      <c r="C12" s="77">
        <v>85.46</v>
      </c>
      <c r="D12" s="186">
        <v>131.62</v>
      </c>
      <c r="E12" s="77">
        <v>102.34</v>
      </c>
      <c r="F12" s="187">
        <v>95.1</v>
      </c>
      <c r="H12" t="s">
        <v>182</v>
      </c>
      <c r="I12" s="163">
        <f>2*_xlfn.NORM.S.DIST(I11,TRUE)</f>
        <v>8.0144478225875667E-3</v>
      </c>
      <c r="K12" s="22" t="e">
        <f ca="1">FTEXT(I12)</f>
        <v>#NAME?</v>
      </c>
      <c r="M12" s="77">
        <v>126.11</v>
      </c>
      <c r="N12" s="77">
        <v>131.62</v>
      </c>
      <c r="O12" s="8"/>
      <c r="P12" s="27" t="s">
        <v>478</v>
      </c>
      <c r="Q12" s="27">
        <v>1.6448536269514715</v>
      </c>
      <c r="R12" s="27"/>
    </row>
    <row r="13" spans="1:18" x14ac:dyDescent="0.25">
      <c r="A13" s="188">
        <v>127.96</v>
      </c>
      <c r="B13" s="189">
        <v>74.13</v>
      </c>
      <c r="C13" s="189">
        <v>103.69</v>
      </c>
      <c r="D13" s="188">
        <v>114.6</v>
      </c>
      <c r="E13" s="189">
        <v>97.01</v>
      </c>
      <c r="F13" s="190">
        <v>107.62</v>
      </c>
      <c r="H13" t="s">
        <v>357</v>
      </c>
      <c r="I13" s="163">
        <f>_xlfn.NORM.S.INV(I8/2)</f>
        <v>-1.9599639845400538</v>
      </c>
      <c r="K13" s="22" t="e">
        <f ca="1">FTEXT(I13)</f>
        <v>#NAME?</v>
      </c>
      <c r="M13" s="77">
        <v>127.96</v>
      </c>
      <c r="N13" s="77">
        <v>114.6</v>
      </c>
      <c r="O13" s="8"/>
      <c r="P13" s="27" t="s">
        <v>479</v>
      </c>
      <c r="Q13" s="27">
        <v>8.0144478225874227E-3</v>
      </c>
      <c r="R13" s="27"/>
    </row>
    <row r="14" spans="1:18" ht="15.75" thickBot="1" x14ac:dyDescent="0.3">
      <c r="H14" t="s">
        <v>381</v>
      </c>
      <c r="I14" s="152" t="str">
        <f>IF(I12&lt;I8,"yes","no")</f>
        <v>yes</v>
      </c>
      <c r="K14" s="22" t="e">
        <f ca="1">FTEXT(I14)</f>
        <v>#NAME?</v>
      </c>
      <c r="M14" s="77">
        <v>89.03</v>
      </c>
      <c r="N14" s="77">
        <v>95.47</v>
      </c>
      <c r="O14" s="8"/>
      <c r="P14" s="30" t="s">
        <v>480</v>
      </c>
      <c r="Q14" s="30">
        <v>1.9599639845400536</v>
      </c>
      <c r="R14" s="30"/>
    </row>
    <row r="15" spans="1:18" x14ac:dyDescent="0.25">
      <c r="M15" s="77">
        <v>94.51</v>
      </c>
      <c r="N15" s="77">
        <v>108.66</v>
      </c>
      <c r="O15" s="8"/>
      <c r="P15" s="8"/>
      <c r="Q15" s="8"/>
    </row>
    <row r="16" spans="1:18" x14ac:dyDescent="0.25">
      <c r="H16" t="s">
        <v>1000</v>
      </c>
      <c r="M16" s="77">
        <v>93.32</v>
      </c>
      <c r="N16" s="77">
        <v>83.32</v>
      </c>
      <c r="O16" s="8"/>
      <c r="P16" s="8"/>
      <c r="Q16" s="8"/>
    </row>
    <row r="17" spans="8:17" x14ac:dyDescent="0.25">
      <c r="M17" s="77">
        <v>89.26</v>
      </c>
      <c r="N17" s="77">
        <v>117.64</v>
      </c>
      <c r="O17" s="8"/>
      <c r="P17" s="8"/>
      <c r="Q17" s="8"/>
    </row>
    <row r="18" spans="8:17" x14ac:dyDescent="0.25">
      <c r="I18" t="s">
        <v>218</v>
      </c>
      <c r="J18" t="s">
        <v>482</v>
      </c>
      <c r="M18" s="77">
        <v>110.36</v>
      </c>
      <c r="N18" s="77">
        <v>96.9</v>
      </c>
      <c r="O18" s="8"/>
      <c r="P18" s="8"/>
      <c r="Q18" s="8"/>
    </row>
    <row r="19" spans="8:17" x14ac:dyDescent="0.25">
      <c r="H19" t="s">
        <v>396</v>
      </c>
      <c r="I19" s="156">
        <f>COUNT(A4:C13)</f>
        <v>30</v>
      </c>
      <c r="J19" s="172">
        <f>COUNT(D4:F13)</f>
        <v>30</v>
      </c>
      <c r="M19" s="77">
        <v>92.52</v>
      </c>
      <c r="N19" s="77">
        <v>66.459999999999994</v>
      </c>
      <c r="O19" s="8"/>
      <c r="P19" s="8"/>
      <c r="Q19" s="8"/>
    </row>
    <row r="20" spans="8:17" x14ac:dyDescent="0.25">
      <c r="H20" t="s">
        <v>403</v>
      </c>
      <c r="I20" s="188">
        <f>AVERAGE(A4:C13)</f>
        <v>95.737333333333339</v>
      </c>
      <c r="J20" s="190">
        <f>AVERAGE(D4:F13)</f>
        <v>106.691</v>
      </c>
      <c r="M20" s="77">
        <v>112.87</v>
      </c>
      <c r="N20" s="77">
        <v>87.8</v>
      </c>
      <c r="O20" s="8"/>
      <c r="P20" s="8"/>
      <c r="Q20" s="8"/>
    </row>
    <row r="21" spans="8:17" x14ac:dyDescent="0.25">
      <c r="M21" s="77">
        <v>64.05</v>
      </c>
      <c r="N21" s="77">
        <v>115.52</v>
      </c>
      <c r="O21" s="8"/>
      <c r="P21" s="8"/>
      <c r="Q21" s="8"/>
    </row>
    <row r="22" spans="8:17" x14ac:dyDescent="0.25">
      <c r="H22" t="s">
        <v>483</v>
      </c>
      <c r="I22" s="154">
        <f>16^2</f>
        <v>256</v>
      </c>
      <c r="K22" s="8"/>
      <c r="M22" s="77">
        <v>80.06</v>
      </c>
      <c r="N22" s="77">
        <v>102.34</v>
      </c>
      <c r="O22" s="8"/>
      <c r="P22" s="8"/>
      <c r="Q22" s="8"/>
    </row>
    <row r="23" spans="8:17" x14ac:dyDescent="0.25">
      <c r="H23" t="s">
        <v>262</v>
      </c>
      <c r="I23" s="163">
        <v>0.05</v>
      </c>
      <c r="K23" s="77"/>
      <c r="M23" s="77">
        <v>74.13</v>
      </c>
      <c r="N23" s="77">
        <v>97.01</v>
      </c>
      <c r="O23" s="8"/>
      <c r="P23" s="8"/>
      <c r="Q23" s="8"/>
    </row>
    <row r="24" spans="8:17" x14ac:dyDescent="0.25">
      <c r="H24" t="s">
        <v>484</v>
      </c>
      <c r="I24" s="163">
        <f>I22/I19+I22/J19</f>
        <v>17.066666666666666</v>
      </c>
      <c r="K24" s="22" t="e">
        <f ca="1">FTEXT(I24)</f>
        <v>#NAME?</v>
      </c>
      <c r="M24" s="77">
        <v>109.13</v>
      </c>
      <c r="N24" s="77">
        <v>117.51</v>
      </c>
      <c r="O24" s="8"/>
      <c r="P24" s="8"/>
      <c r="Q24" s="8"/>
    </row>
    <row r="25" spans="8:17" x14ac:dyDescent="0.25">
      <c r="H25" t="s">
        <v>485</v>
      </c>
      <c r="I25" s="163">
        <f>SQRT(I24)</f>
        <v>4.1311822359545776</v>
      </c>
      <c r="K25" s="22" t="e">
        <f ca="1">FTEXT(I25)</f>
        <v>#NAME?</v>
      </c>
      <c r="M25" s="77">
        <v>81.59</v>
      </c>
      <c r="N25" s="77">
        <v>115.64</v>
      </c>
      <c r="O25" s="8"/>
      <c r="P25" s="8"/>
      <c r="Q25" s="8"/>
    </row>
    <row r="26" spans="8:17" x14ac:dyDescent="0.25">
      <c r="H26" t="s">
        <v>466</v>
      </c>
      <c r="I26" s="163">
        <f>(I20-J20)/I25</f>
        <v>-2.6514605362442061</v>
      </c>
      <c r="K26" s="22" t="e">
        <f ca="1">FTEXT(I26)</f>
        <v>#NAME?</v>
      </c>
      <c r="M26" s="77">
        <v>94.99</v>
      </c>
      <c r="N26" s="77">
        <v>97.22</v>
      </c>
      <c r="O26" s="8"/>
      <c r="P26" s="8"/>
      <c r="Q26" s="8"/>
    </row>
    <row r="27" spans="8:17" x14ac:dyDescent="0.25">
      <c r="H27" t="s">
        <v>182</v>
      </c>
      <c r="I27" s="163">
        <f>2*NORMSDIST(I26)</f>
        <v>8.0144478225875667E-3</v>
      </c>
      <c r="K27" s="22" t="e">
        <f ca="1">FTEXT(I27)</f>
        <v>#NAME?</v>
      </c>
      <c r="M27" s="77">
        <v>101.34</v>
      </c>
      <c r="N27" s="77">
        <v>131.04</v>
      </c>
      <c r="O27" s="8"/>
      <c r="P27" s="8"/>
      <c r="Q27" s="8"/>
    </row>
    <row r="28" spans="8:17" x14ac:dyDescent="0.25">
      <c r="H28" t="s">
        <v>357</v>
      </c>
      <c r="I28" s="163">
        <f>NORMSINV(I23/2)</f>
        <v>-1.9599639845400538</v>
      </c>
      <c r="K28" s="22" t="e">
        <f ca="1">FTEXT(I28)</f>
        <v>#NAME?</v>
      </c>
      <c r="M28" s="77">
        <v>104.82</v>
      </c>
      <c r="N28" s="77">
        <v>101.58</v>
      </c>
      <c r="O28" s="8"/>
      <c r="P28" s="8"/>
      <c r="Q28" s="8"/>
    </row>
    <row r="29" spans="8:17" x14ac:dyDescent="0.25">
      <c r="H29" t="s">
        <v>381</v>
      </c>
      <c r="I29" s="152" t="str">
        <f>IF(I27&lt;I23,"yes","no")</f>
        <v>yes</v>
      </c>
      <c r="K29" s="22" t="e">
        <f ca="1">FTEXT(I29)</f>
        <v>#NAME?</v>
      </c>
      <c r="M29" s="77">
        <v>106.92</v>
      </c>
      <c r="N29" s="77">
        <v>103.8</v>
      </c>
      <c r="O29" s="8"/>
      <c r="P29" s="8"/>
      <c r="Q29" s="8"/>
    </row>
    <row r="30" spans="8:17" x14ac:dyDescent="0.25">
      <c r="M30" s="77">
        <v>80.5</v>
      </c>
      <c r="N30" s="77">
        <v>111.99</v>
      </c>
      <c r="O30" s="8"/>
      <c r="P30" s="8"/>
      <c r="Q30" s="8"/>
    </row>
    <row r="31" spans="8:17" x14ac:dyDescent="0.25">
      <c r="M31" s="77">
        <v>106.31</v>
      </c>
      <c r="N31" s="77">
        <v>119.34</v>
      </c>
      <c r="O31" s="8"/>
      <c r="P31" s="8"/>
      <c r="Q31" s="8"/>
    </row>
    <row r="32" spans="8:17" x14ac:dyDescent="0.25">
      <c r="M32" s="77">
        <v>85.46</v>
      </c>
      <c r="N32" s="77">
        <v>95.1</v>
      </c>
      <c r="O32" s="8"/>
      <c r="P32" s="8"/>
      <c r="Q32" s="8"/>
    </row>
    <row r="33" spans="13:17" x14ac:dyDescent="0.25">
      <c r="M33" s="189">
        <v>103.69</v>
      </c>
      <c r="N33" s="189">
        <v>107.62</v>
      </c>
      <c r="O33" s="8"/>
      <c r="P33" s="8"/>
      <c r="Q33" s="8"/>
    </row>
    <row r="34" spans="13:17" x14ac:dyDescent="0.25">
      <c r="M34" s="8"/>
      <c r="N34" s="8"/>
      <c r="O34" s="8"/>
      <c r="P34" s="8"/>
      <c r="Q34" s="8"/>
    </row>
    <row r="35" spans="13:17" x14ac:dyDescent="0.25">
      <c r="M35" s="8"/>
      <c r="N35" s="8"/>
      <c r="O35" s="8"/>
      <c r="P35" s="8"/>
      <c r="Q35" s="8"/>
    </row>
  </sheetData>
  <mergeCells count="2">
    <mergeCell ref="A3:C3"/>
    <mergeCell ref="D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9"/>
  <sheetViews>
    <sheetView workbookViewId="0"/>
  </sheetViews>
  <sheetFormatPr defaultRowHeight="15" x14ac:dyDescent="0.25"/>
  <sheetData>
    <row r="1" spans="1:3" x14ac:dyDescent="0.25">
      <c r="A1" s="1" t="s">
        <v>1563</v>
      </c>
    </row>
    <row r="3" spans="1:3" x14ac:dyDescent="0.25">
      <c r="A3" s="561" t="s">
        <v>1564</v>
      </c>
      <c r="B3" s="561" t="s">
        <v>1565</v>
      </c>
      <c r="C3" s="561" t="s">
        <v>17</v>
      </c>
    </row>
    <row r="4" spans="1:3" x14ac:dyDescent="0.25">
      <c r="A4" s="562" t="s">
        <v>1396</v>
      </c>
      <c r="B4">
        <v>50</v>
      </c>
      <c r="C4">
        <v>74</v>
      </c>
    </row>
    <row r="5" spans="1:3" x14ac:dyDescent="0.25">
      <c r="A5" s="562" t="s">
        <v>1566</v>
      </c>
      <c r="B5">
        <v>78</v>
      </c>
      <c r="C5">
        <v>95</v>
      </c>
    </row>
    <row r="6" spans="1:3" x14ac:dyDescent="0.25">
      <c r="A6" s="562" t="s">
        <v>1567</v>
      </c>
      <c r="B6">
        <v>65</v>
      </c>
      <c r="C6">
        <v>87</v>
      </c>
    </row>
    <row r="7" spans="1:3" x14ac:dyDescent="0.25">
      <c r="A7" s="562" t="s">
        <v>1568</v>
      </c>
      <c r="B7">
        <v>112</v>
      </c>
      <c r="C7">
        <v>156</v>
      </c>
    </row>
    <row r="8" spans="1:3" x14ac:dyDescent="0.25">
      <c r="A8" s="562" t="s">
        <v>1569</v>
      </c>
      <c r="B8">
        <v>32</v>
      </c>
      <c r="C8">
        <v>54</v>
      </c>
    </row>
    <row r="9" spans="1:3" x14ac:dyDescent="0.25">
      <c r="A9" s="527" t="s">
        <v>426</v>
      </c>
      <c r="B9" s="276">
        <v>101</v>
      </c>
      <c r="C9" s="276">
        <v>142</v>
      </c>
    </row>
  </sheetData>
  <pageMargins left="0.7" right="0.7" top="0.75" bottom="0.75" header="0.3" footer="0.3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5"/>
  <dimension ref="A1:CV54"/>
  <sheetViews>
    <sheetView workbookViewId="0"/>
  </sheetViews>
  <sheetFormatPr defaultRowHeight="15" x14ac:dyDescent="0.25"/>
  <sheetData>
    <row r="1" spans="1:100" x14ac:dyDescent="0.25">
      <c r="A1" s="1" t="s">
        <v>493</v>
      </c>
    </row>
    <row r="3" spans="1:100" x14ac:dyDescent="0.25">
      <c r="A3">
        <v>137.72545548875394</v>
      </c>
      <c r="B3">
        <v>64.148380993072294</v>
      </c>
      <c r="C3">
        <v>62.292855616931668</v>
      </c>
      <c r="D3">
        <v>118.77040925321208</v>
      </c>
      <c r="E3">
        <v>97.163304544206056</v>
      </c>
      <c r="F3">
        <v>66.895046845912049</v>
      </c>
      <c r="G3">
        <v>147.77825251014741</v>
      </c>
      <c r="H3">
        <v>70.398571733756526</v>
      </c>
      <c r="I3">
        <v>50.241096224860378</v>
      </c>
      <c r="J3">
        <v>87.064729758598588</v>
      </c>
      <c r="K3">
        <v>139.0926847132786</v>
      </c>
      <c r="L3">
        <v>70.877712332529683</v>
      </c>
      <c r="M3">
        <v>135.8943449201941</v>
      </c>
      <c r="N3">
        <v>137.79259620960113</v>
      </c>
      <c r="O3">
        <v>57.034516434217352</v>
      </c>
      <c r="P3">
        <v>127.18741416669211</v>
      </c>
      <c r="Q3">
        <v>75.016022217474898</v>
      </c>
      <c r="R3">
        <v>80.845057527390367</v>
      </c>
      <c r="S3">
        <v>92.905972472304455</v>
      </c>
      <c r="T3">
        <v>85.602893154698322</v>
      </c>
      <c r="U3">
        <v>118.28516495254372</v>
      </c>
      <c r="V3">
        <v>145.6938383129368</v>
      </c>
      <c r="W3">
        <v>63.830988494521932</v>
      </c>
      <c r="X3">
        <v>128.1914731284524</v>
      </c>
      <c r="Y3">
        <v>69.165623950926232</v>
      </c>
      <c r="Z3">
        <v>122.95449690237129</v>
      </c>
      <c r="AA3">
        <v>144.86373485518968</v>
      </c>
      <c r="AB3">
        <v>139.02249214148381</v>
      </c>
      <c r="AC3">
        <v>97.746208075197615</v>
      </c>
      <c r="AD3">
        <v>85.425885799737529</v>
      </c>
      <c r="AE3">
        <v>118.4499649037141</v>
      </c>
      <c r="AF3">
        <v>118.25769829401533</v>
      </c>
      <c r="AG3">
        <v>111.01565599536119</v>
      </c>
      <c r="AH3">
        <v>139.74578081606495</v>
      </c>
      <c r="AI3">
        <v>131.92388683736687</v>
      </c>
      <c r="AJ3">
        <v>72.202215643787952</v>
      </c>
      <c r="AK3">
        <v>95.194860683004237</v>
      </c>
      <c r="AL3">
        <v>61.844233527634515</v>
      </c>
      <c r="AM3">
        <v>103.60576189458907</v>
      </c>
      <c r="AN3">
        <v>57.446516312143316</v>
      </c>
      <c r="AO3">
        <v>95.799127170628992</v>
      </c>
      <c r="AP3">
        <v>119.34720908230842</v>
      </c>
      <c r="AQ3">
        <v>68.20123905148472</v>
      </c>
      <c r="AR3">
        <v>107.24967192602314</v>
      </c>
      <c r="AS3">
        <v>50.98269600512711</v>
      </c>
      <c r="AT3">
        <v>133.95947141941588</v>
      </c>
      <c r="AU3">
        <v>102.03100680562761</v>
      </c>
      <c r="AV3">
        <v>118.27600939970092</v>
      </c>
      <c r="AW3">
        <v>143.86272774437697</v>
      </c>
      <c r="AX3">
        <v>87.064729758598588</v>
      </c>
      <c r="AY3">
        <v>53.674428540910064</v>
      </c>
      <c r="AZ3">
        <v>144.11908322397534</v>
      </c>
      <c r="BA3">
        <v>95.768608661152996</v>
      </c>
      <c r="BB3">
        <v>127.67876216925565</v>
      </c>
      <c r="BC3">
        <v>53.93078402050844</v>
      </c>
      <c r="BD3">
        <v>111.51310769981993</v>
      </c>
      <c r="BE3">
        <v>72.8675191503647</v>
      </c>
      <c r="BF3">
        <v>107.17337565233314</v>
      </c>
      <c r="BG3">
        <v>137.18222602008117</v>
      </c>
      <c r="BH3">
        <v>134.28601947080904</v>
      </c>
      <c r="BI3">
        <v>73.911252174443803</v>
      </c>
      <c r="BJ3">
        <v>135.22293771172215</v>
      </c>
      <c r="BK3">
        <v>141.71422467726677</v>
      </c>
      <c r="BL3">
        <v>107.96380504776147</v>
      </c>
      <c r="BM3">
        <v>131.11209448530533</v>
      </c>
      <c r="BN3">
        <v>108.7969603564562</v>
      </c>
      <c r="BO3">
        <v>145.82201605273599</v>
      </c>
      <c r="BP3">
        <v>140.08148442030091</v>
      </c>
      <c r="BQ3">
        <v>144.57991271706288</v>
      </c>
      <c r="BR3">
        <v>109.45005645924253</v>
      </c>
      <c r="BS3">
        <v>109.19064912869656</v>
      </c>
      <c r="BT3">
        <v>88.56318857387005</v>
      </c>
      <c r="BU3">
        <v>79.642628254036083</v>
      </c>
      <c r="BV3">
        <v>73.84716330454421</v>
      </c>
      <c r="BW3">
        <v>73.816644795068214</v>
      </c>
      <c r="BX3">
        <v>121.41331217383343</v>
      </c>
      <c r="BY3">
        <v>100.32197027497178</v>
      </c>
      <c r="BZ3">
        <v>55.893124179815061</v>
      </c>
      <c r="CA3">
        <v>90.153202917569502</v>
      </c>
      <c r="CB3">
        <v>100.79500717184973</v>
      </c>
      <c r="CC3">
        <v>129.5312356944487</v>
      </c>
      <c r="CD3">
        <v>108.57417523728141</v>
      </c>
      <c r="CE3">
        <v>84.061708426160465</v>
      </c>
      <c r="CF3">
        <v>144.68977935117647</v>
      </c>
      <c r="CG3">
        <v>76.679280983916755</v>
      </c>
      <c r="CH3">
        <v>63.650929288613547</v>
      </c>
      <c r="CI3">
        <v>130.21179845576341</v>
      </c>
      <c r="CJ3">
        <v>69.156468398083433</v>
      </c>
      <c r="CK3">
        <v>123.29935605945006</v>
      </c>
      <c r="CL3">
        <v>137.35312967314678</v>
      </c>
      <c r="CM3">
        <v>147.56157109286784</v>
      </c>
      <c r="CN3">
        <v>64.46272164067507</v>
      </c>
      <c r="CO3">
        <v>107.24967192602314</v>
      </c>
      <c r="CP3">
        <v>140.1364177373577</v>
      </c>
      <c r="CQ3">
        <v>82.505264442884609</v>
      </c>
      <c r="CR3">
        <v>108.04925687429426</v>
      </c>
      <c r="CS3">
        <v>96.256904812768937</v>
      </c>
      <c r="CT3">
        <v>118.70326853236489</v>
      </c>
      <c r="CU3">
        <v>95.387127292703013</v>
      </c>
      <c r="CV3">
        <v>67.58476516006958</v>
      </c>
    </row>
    <row r="4" spans="1:100" x14ac:dyDescent="0.25">
      <c r="A4">
        <v>118.81008331553087</v>
      </c>
      <c r="B4">
        <v>125.78966643269143</v>
      </c>
      <c r="C4">
        <v>89.365825373088782</v>
      </c>
      <c r="D4">
        <v>121.58421582689901</v>
      </c>
      <c r="E4">
        <v>76.538895840327157</v>
      </c>
      <c r="F4">
        <v>145.48326059755243</v>
      </c>
      <c r="G4">
        <v>121.35227515488144</v>
      </c>
      <c r="H4">
        <v>143.26151310769984</v>
      </c>
      <c r="I4">
        <v>86.167485580004268</v>
      </c>
      <c r="J4">
        <v>109.99633777886288</v>
      </c>
      <c r="K4">
        <v>95.45121616260262</v>
      </c>
      <c r="L4">
        <v>74.478896450697349</v>
      </c>
      <c r="M4">
        <v>62.622455519272435</v>
      </c>
      <c r="N4">
        <v>78.312021240882601</v>
      </c>
      <c r="O4">
        <v>73.441267128513445</v>
      </c>
      <c r="P4">
        <v>63.748588518936735</v>
      </c>
      <c r="Q4">
        <v>108.85494552446059</v>
      </c>
      <c r="R4">
        <v>146.11804559465315</v>
      </c>
      <c r="S4">
        <v>104.64644306772058</v>
      </c>
      <c r="T4">
        <v>103.98724326303903</v>
      </c>
      <c r="U4">
        <v>73.514511551255836</v>
      </c>
      <c r="V4">
        <v>135.26566362498855</v>
      </c>
      <c r="W4">
        <v>70.026245918149357</v>
      </c>
      <c r="X4">
        <v>62.692648091067234</v>
      </c>
      <c r="Y4">
        <v>72.904141361735896</v>
      </c>
      <c r="Z4">
        <v>90.473647267067477</v>
      </c>
      <c r="AA4">
        <v>104.62202826013979</v>
      </c>
      <c r="AB4">
        <v>77.179784539323094</v>
      </c>
      <c r="AC4">
        <v>117.77550584429457</v>
      </c>
      <c r="AD4">
        <v>61.365092928861358</v>
      </c>
      <c r="AE4">
        <v>63.913388470107122</v>
      </c>
      <c r="AF4">
        <v>117.97692800683615</v>
      </c>
      <c r="AG4">
        <v>135.66850795007173</v>
      </c>
      <c r="AH4">
        <v>97.987304300057986</v>
      </c>
      <c r="AI4">
        <v>149.76195562608723</v>
      </c>
      <c r="AJ4">
        <v>73.490096743675039</v>
      </c>
      <c r="AK4">
        <v>129.36338389233072</v>
      </c>
      <c r="AL4">
        <v>137.93298135319071</v>
      </c>
      <c r="AM4">
        <v>61.542100283822137</v>
      </c>
      <c r="AN4">
        <v>59.115878780480358</v>
      </c>
      <c r="AO4">
        <v>62.112796411023282</v>
      </c>
      <c r="AP4">
        <v>113.18857387005218</v>
      </c>
      <c r="AQ4">
        <v>88.108462782677691</v>
      </c>
      <c r="AR4">
        <v>103.85906552323985</v>
      </c>
      <c r="AS4">
        <v>110.22522659993285</v>
      </c>
      <c r="AT4">
        <v>54.837183751945553</v>
      </c>
      <c r="AU4">
        <v>106.18152409436323</v>
      </c>
      <c r="AV4">
        <v>117.64122440260017</v>
      </c>
      <c r="AW4">
        <v>73.676259651478617</v>
      </c>
      <c r="AX4">
        <v>123.73882259590442</v>
      </c>
      <c r="AY4">
        <v>91.264076662495796</v>
      </c>
      <c r="AZ4">
        <v>108.35444196905422</v>
      </c>
      <c r="BA4">
        <v>115.91082491531114</v>
      </c>
      <c r="BB4">
        <v>97.169408246101256</v>
      </c>
      <c r="BC4">
        <v>50.329599902340767</v>
      </c>
      <c r="BD4">
        <v>123.80901516769921</v>
      </c>
      <c r="BE4">
        <v>83.149204992828146</v>
      </c>
      <c r="BF4">
        <v>79.825739310892061</v>
      </c>
      <c r="BG4">
        <v>73.667104098635818</v>
      </c>
      <c r="BH4">
        <v>66.660054322946877</v>
      </c>
      <c r="BI4">
        <v>135.74785607470932</v>
      </c>
      <c r="BJ4">
        <v>119.40214239936522</v>
      </c>
      <c r="BK4">
        <v>140.39277321695607</v>
      </c>
      <c r="BL4">
        <v>77.521591845454267</v>
      </c>
      <c r="BM4">
        <v>67.923520615253153</v>
      </c>
      <c r="BN4">
        <v>135.02456740012818</v>
      </c>
      <c r="BO4">
        <v>137.70714438306834</v>
      </c>
      <c r="BP4">
        <v>111.04007080294198</v>
      </c>
      <c r="BQ4">
        <v>116.96371349223304</v>
      </c>
      <c r="BR4">
        <v>61.200292977690971</v>
      </c>
      <c r="BS4">
        <v>73.068941312906276</v>
      </c>
      <c r="BT4">
        <v>61.88695944090091</v>
      </c>
      <c r="BU4">
        <v>97.721793267616818</v>
      </c>
      <c r="BV4">
        <v>106.73085726493119</v>
      </c>
      <c r="BW4">
        <v>109.99023407696768</v>
      </c>
      <c r="BX4">
        <v>119.85076448866238</v>
      </c>
      <c r="BY4">
        <v>149.86877040925322</v>
      </c>
      <c r="BZ4">
        <v>75.501266518143254</v>
      </c>
      <c r="CA4">
        <v>118.09900204474013</v>
      </c>
      <c r="CB4">
        <v>82.151249732963038</v>
      </c>
      <c r="CC4">
        <v>113.43272194586015</v>
      </c>
      <c r="CD4">
        <v>102.35145115512557</v>
      </c>
      <c r="CE4">
        <v>78.083132419812614</v>
      </c>
      <c r="CF4">
        <v>101.10934781945249</v>
      </c>
      <c r="CG4">
        <v>98.304696798608347</v>
      </c>
      <c r="CH4">
        <v>107.08182012390515</v>
      </c>
      <c r="CI4">
        <v>132.14667195654164</v>
      </c>
      <c r="CJ4">
        <v>95.286416211432226</v>
      </c>
      <c r="CK4">
        <v>63.284707174901577</v>
      </c>
      <c r="CL4">
        <v>119.77141636402479</v>
      </c>
      <c r="CM4">
        <v>120.5801568651387</v>
      </c>
      <c r="CN4">
        <v>102.24463637195959</v>
      </c>
      <c r="CO4">
        <v>70.36805322428053</v>
      </c>
      <c r="CP4">
        <v>80.478835413678397</v>
      </c>
      <c r="CQ4">
        <v>95.118564409314246</v>
      </c>
      <c r="CR4">
        <v>101.00253303628651</v>
      </c>
      <c r="CS4">
        <v>129.80285042878506</v>
      </c>
      <c r="CT4">
        <v>66.51661732840968</v>
      </c>
      <c r="CU4">
        <v>149.67040009765924</v>
      </c>
      <c r="CV4">
        <v>82.370983001190226</v>
      </c>
    </row>
    <row r="5" spans="1:100" x14ac:dyDescent="0.25">
      <c r="A5">
        <v>100.82857753227333</v>
      </c>
      <c r="B5">
        <v>92.374950407422105</v>
      </c>
      <c r="C5">
        <v>85.358745078890337</v>
      </c>
      <c r="D5">
        <v>145.28489028595845</v>
      </c>
      <c r="E5">
        <v>73.627430036317023</v>
      </c>
      <c r="F5">
        <v>139.98077333903012</v>
      </c>
      <c r="G5">
        <v>109.57518234809413</v>
      </c>
      <c r="H5">
        <v>76.43513290810877</v>
      </c>
      <c r="I5">
        <v>54.153569139683221</v>
      </c>
      <c r="J5">
        <v>120.41230506302072</v>
      </c>
      <c r="K5">
        <v>70.407727286599325</v>
      </c>
      <c r="L5">
        <v>83.051545762504958</v>
      </c>
      <c r="M5">
        <v>80.414746543778804</v>
      </c>
      <c r="N5">
        <v>62.86355174413282</v>
      </c>
      <c r="O5">
        <v>100.63325907162695</v>
      </c>
      <c r="P5">
        <v>55.740531632435072</v>
      </c>
      <c r="Q5">
        <v>63.843195898312331</v>
      </c>
      <c r="R5">
        <v>133.27585680715353</v>
      </c>
      <c r="S5">
        <v>51.721243934446242</v>
      </c>
      <c r="T5">
        <v>142.2849208044679</v>
      </c>
      <c r="U5">
        <v>104.5121616260262</v>
      </c>
      <c r="V5">
        <v>51.20853297524949</v>
      </c>
      <c r="W5">
        <v>55.630664998321478</v>
      </c>
      <c r="X5">
        <v>124.79476302377391</v>
      </c>
      <c r="Y5">
        <v>72.13507492294076</v>
      </c>
      <c r="Z5">
        <v>109.33408612323375</v>
      </c>
      <c r="AA5">
        <v>78.955961790826137</v>
      </c>
      <c r="AB5">
        <v>119.73784600360119</v>
      </c>
      <c r="AC5">
        <v>118.53541673024689</v>
      </c>
      <c r="AD5">
        <v>98.506118961149937</v>
      </c>
      <c r="AE5">
        <v>60.107730338450267</v>
      </c>
      <c r="AF5">
        <v>128.91476180303354</v>
      </c>
      <c r="AG5">
        <v>137.19138157292397</v>
      </c>
      <c r="AH5">
        <v>91.676076540421761</v>
      </c>
      <c r="AI5">
        <v>70.120853297524945</v>
      </c>
      <c r="AJ5">
        <v>119.5577867976928</v>
      </c>
      <c r="AK5">
        <v>135.43961912900176</v>
      </c>
      <c r="AL5">
        <v>89.710684530167555</v>
      </c>
      <c r="AM5">
        <v>87.705618457594539</v>
      </c>
      <c r="AN5">
        <v>61.636707663197726</v>
      </c>
      <c r="AO5">
        <v>135.05813776055177</v>
      </c>
      <c r="AP5">
        <v>82.230597857600628</v>
      </c>
      <c r="AQ5">
        <v>129.19248023926514</v>
      </c>
      <c r="AR5">
        <v>100.54170354319895</v>
      </c>
      <c r="AS5">
        <v>66.727195043794069</v>
      </c>
      <c r="AT5">
        <v>126.63808099612415</v>
      </c>
      <c r="AU5">
        <v>123.99212622455519</v>
      </c>
      <c r="AV5">
        <v>93.214209418012018</v>
      </c>
      <c r="AW5">
        <v>74.121829889828177</v>
      </c>
      <c r="AX5">
        <v>98.417615283669548</v>
      </c>
      <c r="AY5">
        <v>101.61900692770165</v>
      </c>
      <c r="AZ5">
        <v>50.363170262764363</v>
      </c>
      <c r="BA5">
        <v>59.021271401104769</v>
      </c>
      <c r="BB5">
        <v>95.255897701956229</v>
      </c>
      <c r="BC5">
        <v>69.238868373668623</v>
      </c>
      <c r="BD5">
        <v>141.38462477492601</v>
      </c>
      <c r="BE5">
        <v>66.2358470412305</v>
      </c>
      <c r="BF5">
        <v>147.05191198461867</v>
      </c>
      <c r="BG5">
        <v>50.75685903500473</v>
      </c>
      <c r="BH5">
        <v>114.44288460951567</v>
      </c>
      <c r="BI5">
        <v>109.26084170049135</v>
      </c>
      <c r="BJ5">
        <v>86.274300363170255</v>
      </c>
      <c r="BK5">
        <v>63.553270058290352</v>
      </c>
      <c r="BL5">
        <v>78.577532273323769</v>
      </c>
      <c r="BM5">
        <v>127.42851039155248</v>
      </c>
      <c r="BN5">
        <v>145.55345316934722</v>
      </c>
      <c r="BO5">
        <v>107.85699026459548</v>
      </c>
      <c r="BP5">
        <v>88.831751457258832</v>
      </c>
      <c r="BQ5">
        <v>138.48231452375865</v>
      </c>
      <c r="BR5">
        <v>73.068941312906276</v>
      </c>
      <c r="BS5">
        <v>84.855189672536397</v>
      </c>
      <c r="BT5">
        <v>54.361095004120003</v>
      </c>
      <c r="BU5">
        <v>126.72353282265694</v>
      </c>
      <c r="BV5">
        <v>130.63600573747976</v>
      </c>
      <c r="BW5">
        <v>115.04715109714041</v>
      </c>
      <c r="BX5">
        <v>145.97155674916837</v>
      </c>
      <c r="BY5">
        <v>132.90353099154638</v>
      </c>
      <c r="BZ5">
        <v>86.457411420026247</v>
      </c>
      <c r="CA5">
        <v>72.348704489272748</v>
      </c>
      <c r="CB5">
        <v>56.186101870784633</v>
      </c>
      <c r="CC5">
        <v>86.521500289925839</v>
      </c>
      <c r="CD5">
        <v>80.793176061281173</v>
      </c>
      <c r="CE5">
        <v>99.723807489242233</v>
      </c>
      <c r="CF5">
        <v>114.99221778008362</v>
      </c>
      <c r="CG5">
        <v>71.124912259285253</v>
      </c>
      <c r="CH5">
        <v>92.558061464278083</v>
      </c>
      <c r="CI5">
        <v>121.8008972441786</v>
      </c>
      <c r="CJ5">
        <v>114.34522537919248</v>
      </c>
      <c r="CK5">
        <v>63.223670155949584</v>
      </c>
      <c r="CL5">
        <v>85.035248878444776</v>
      </c>
      <c r="CM5">
        <v>120.25666066469314</v>
      </c>
      <c r="CN5">
        <v>144.62569048127688</v>
      </c>
      <c r="CO5">
        <v>135.49150059511095</v>
      </c>
      <c r="CP5">
        <v>58.829004791405985</v>
      </c>
      <c r="CQ5">
        <v>87.476729636524553</v>
      </c>
      <c r="CR5">
        <v>96.101260414441356</v>
      </c>
      <c r="CS5">
        <v>64.807580797753843</v>
      </c>
      <c r="CT5">
        <v>90.147099215674302</v>
      </c>
      <c r="CU5">
        <v>124.18439283425397</v>
      </c>
      <c r="CV5">
        <v>128.57905819879755</v>
      </c>
    </row>
    <row r="6" spans="1:100" x14ac:dyDescent="0.25">
      <c r="A6">
        <v>76.163518173772388</v>
      </c>
      <c r="B6">
        <v>85.8989226966155</v>
      </c>
      <c r="C6">
        <v>93.156224250007625</v>
      </c>
      <c r="D6">
        <v>115.85894344920194</v>
      </c>
      <c r="E6">
        <v>102.78481398968475</v>
      </c>
      <c r="F6">
        <v>61.627552110354927</v>
      </c>
      <c r="G6">
        <v>122.06335642567217</v>
      </c>
      <c r="H6">
        <v>92.298654133732114</v>
      </c>
      <c r="I6">
        <v>89.640491958372763</v>
      </c>
      <c r="J6">
        <v>135.53117465742974</v>
      </c>
      <c r="K6">
        <v>147.93084505752739</v>
      </c>
      <c r="L6">
        <v>119.06949064607684</v>
      </c>
      <c r="M6">
        <v>54.986724448377942</v>
      </c>
      <c r="N6">
        <v>126.12842188787499</v>
      </c>
      <c r="O6">
        <v>145.29404583880125</v>
      </c>
      <c r="P6">
        <v>132.19244972075563</v>
      </c>
      <c r="Q6">
        <v>61.905270546586507</v>
      </c>
      <c r="R6">
        <v>80.768761253700376</v>
      </c>
      <c r="S6">
        <v>112.41950743125706</v>
      </c>
      <c r="T6">
        <v>66.006958220160527</v>
      </c>
      <c r="U6">
        <v>69.922482985930969</v>
      </c>
      <c r="V6">
        <v>83.219397564622938</v>
      </c>
      <c r="W6">
        <v>60.925626392406997</v>
      </c>
      <c r="X6">
        <v>146.8413342692343</v>
      </c>
      <c r="Y6">
        <v>66.51356547746208</v>
      </c>
      <c r="Z6">
        <v>121.6727195043794</v>
      </c>
      <c r="AA6">
        <v>124.34308908352915</v>
      </c>
      <c r="AB6">
        <v>129.82726523636586</v>
      </c>
      <c r="AC6">
        <v>69.135105441450236</v>
      </c>
      <c r="AD6">
        <v>145.19638660847806</v>
      </c>
      <c r="AE6">
        <v>101.22531815546128</v>
      </c>
      <c r="AF6">
        <v>132.03680532242805</v>
      </c>
      <c r="AG6">
        <v>138.35413678395946</v>
      </c>
      <c r="AH6">
        <v>86.777855769524223</v>
      </c>
      <c r="AI6">
        <v>98.490859706411939</v>
      </c>
      <c r="AJ6">
        <v>64.993743705557421</v>
      </c>
      <c r="AK6">
        <v>92.753379924924474</v>
      </c>
      <c r="AL6">
        <v>81.144138920255131</v>
      </c>
      <c r="AM6">
        <v>90.556047242652667</v>
      </c>
      <c r="AN6">
        <v>119.76226081118199</v>
      </c>
      <c r="AO6">
        <v>66.2297433393353</v>
      </c>
      <c r="AP6">
        <v>55.36515396588031</v>
      </c>
      <c r="AQ6">
        <v>59.91851557969909</v>
      </c>
      <c r="AR6">
        <v>107.6738792077395</v>
      </c>
      <c r="AS6">
        <v>98.28333384197515</v>
      </c>
      <c r="AT6">
        <v>120.48249763481552</v>
      </c>
      <c r="AU6">
        <v>134.835352641377</v>
      </c>
      <c r="AV6">
        <v>109.8437452314829</v>
      </c>
      <c r="AW6">
        <v>97.94763023773919</v>
      </c>
      <c r="AX6">
        <v>142.22083193456831</v>
      </c>
      <c r="AY6">
        <v>135.8760338145085</v>
      </c>
      <c r="AZ6">
        <v>82.575457014679401</v>
      </c>
      <c r="BA6">
        <v>96.613971373638122</v>
      </c>
      <c r="BB6">
        <v>62.329477828302871</v>
      </c>
      <c r="BC6">
        <v>80.890835291604361</v>
      </c>
      <c r="BD6">
        <v>110.45106357005524</v>
      </c>
      <c r="BE6">
        <v>118.91994994964446</v>
      </c>
      <c r="BF6">
        <v>93.436994537186791</v>
      </c>
      <c r="BG6">
        <v>146.04480117191076</v>
      </c>
      <c r="BH6">
        <v>81.958983123264261</v>
      </c>
      <c r="BI6">
        <v>76.358836634418779</v>
      </c>
      <c r="BJ6">
        <v>86.674092837305835</v>
      </c>
      <c r="BK6">
        <v>125.33799249244667</v>
      </c>
      <c r="BL6">
        <v>100.08087405011139</v>
      </c>
      <c r="BM6">
        <v>54.956205938901945</v>
      </c>
      <c r="BN6">
        <v>149.05392620624409</v>
      </c>
      <c r="BO6">
        <v>52.468947416608174</v>
      </c>
      <c r="BP6">
        <v>149.52696310312206</v>
      </c>
      <c r="BQ6">
        <v>93.226416821802417</v>
      </c>
      <c r="BR6">
        <v>137.16391491439558</v>
      </c>
      <c r="BS6">
        <v>91.309854426709805</v>
      </c>
      <c r="BT6">
        <v>87.742240668965735</v>
      </c>
      <c r="BU6">
        <v>121.57506027405621</v>
      </c>
      <c r="BV6">
        <v>101.42368846705527</v>
      </c>
      <c r="BW6">
        <v>115.65752128666036</v>
      </c>
      <c r="BX6">
        <v>68.20123905148472</v>
      </c>
      <c r="BY6">
        <v>105.04928739280373</v>
      </c>
      <c r="BZ6">
        <v>120.36957914975433</v>
      </c>
      <c r="CA6">
        <v>118.86196478164007</v>
      </c>
      <c r="CB6">
        <v>73.978392895290995</v>
      </c>
      <c r="CC6">
        <v>55.023346659749137</v>
      </c>
      <c r="CD6">
        <v>128.10296945097201</v>
      </c>
      <c r="CE6">
        <v>143.97564622943815</v>
      </c>
      <c r="CF6">
        <v>89.841914120914339</v>
      </c>
      <c r="CG6">
        <v>125.44175542466506</v>
      </c>
      <c r="CH6">
        <v>88.038270210882899</v>
      </c>
      <c r="CI6">
        <v>75.009918515579699</v>
      </c>
      <c r="CJ6">
        <v>90.937528611102636</v>
      </c>
      <c r="CK6">
        <v>59.262367625965148</v>
      </c>
      <c r="CL6">
        <v>116.06952116458632</v>
      </c>
      <c r="CM6">
        <v>79.984435560167242</v>
      </c>
      <c r="CN6">
        <v>76.206244087038783</v>
      </c>
      <c r="CO6">
        <v>100.74007385479294</v>
      </c>
      <c r="CP6">
        <v>106.24256111331522</v>
      </c>
      <c r="CQ6">
        <v>146.31946775719473</v>
      </c>
      <c r="CR6">
        <v>124.63606677449873</v>
      </c>
      <c r="CS6">
        <v>139.1262550737022</v>
      </c>
      <c r="CT6">
        <v>62.137211218604087</v>
      </c>
      <c r="CU6">
        <v>99.26908169804986</v>
      </c>
      <c r="CV6">
        <v>102.50404370250556</v>
      </c>
    </row>
    <row r="7" spans="1:100" x14ac:dyDescent="0.25">
      <c r="A7">
        <v>89.646595660267963</v>
      </c>
      <c r="B7">
        <v>138.62575151829583</v>
      </c>
      <c r="C7">
        <v>71.97027497177038</v>
      </c>
      <c r="D7">
        <v>118.93826105533006</v>
      </c>
      <c r="E7">
        <v>123.48857081820124</v>
      </c>
      <c r="F7">
        <v>64.069032868434704</v>
      </c>
      <c r="G7">
        <v>57.889034699545277</v>
      </c>
      <c r="H7">
        <v>144.90951261940367</v>
      </c>
      <c r="I7">
        <v>82.871486556596579</v>
      </c>
      <c r="J7">
        <v>108.58943449201941</v>
      </c>
      <c r="K7">
        <v>52.603228858302558</v>
      </c>
      <c r="L7">
        <v>87.098300119022184</v>
      </c>
      <c r="M7">
        <v>143.90850550859096</v>
      </c>
      <c r="N7">
        <v>62.857448042237621</v>
      </c>
      <c r="O7">
        <v>77.085177159947506</v>
      </c>
      <c r="P7">
        <v>53.537095248268074</v>
      </c>
      <c r="Q7">
        <v>119.66765343180639</v>
      </c>
      <c r="R7">
        <v>126.18640705587939</v>
      </c>
      <c r="S7">
        <v>67.847224341563162</v>
      </c>
      <c r="T7">
        <v>81.412701803643913</v>
      </c>
      <c r="U7">
        <v>108.39716788232062</v>
      </c>
      <c r="V7">
        <v>124.37360759300515</v>
      </c>
      <c r="W7">
        <v>135.79973754081851</v>
      </c>
      <c r="X7">
        <v>123.02163762321848</v>
      </c>
      <c r="Y7">
        <v>148.17804498428296</v>
      </c>
      <c r="Z7">
        <v>108.28730124820703</v>
      </c>
      <c r="AA7">
        <v>83.085116122928554</v>
      </c>
      <c r="AB7">
        <v>57.696768089846493</v>
      </c>
      <c r="AC7">
        <v>93.626209295937983</v>
      </c>
      <c r="AD7">
        <v>86.179692983794666</v>
      </c>
      <c r="AE7">
        <v>118.6025574510941</v>
      </c>
      <c r="AF7">
        <v>107.84478286080508</v>
      </c>
      <c r="AG7">
        <v>80.3353984191412</v>
      </c>
      <c r="AH7">
        <v>92.936490981780452</v>
      </c>
      <c r="AI7">
        <v>62.72316660054323</v>
      </c>
      <c r="AJ7">
        <v>87.174596392712175</v>
      </c>
      <c r="AK7">
        <v>92.588579973754079</v>
      </c>
      <c r="AL7">
        <v>149.38047425763725</v>
      </c>
      <c r="AM7">
        <v>81.952879421369062</v>
      </c>
      <c r="AN7">
        <v>59.332560197759939</v>
      </c>
      <c r="AO7">
        <v>100.05951109347819</v>
      </c>
      <c r="AP7">
        <v>114.70839564195686</v>
      </c>
      <c r="AQ7">
        <v>144.04583880123295</v>
      </c>
      <c r="AR7">
        <v>134.96963408307138</v>
      </c>
      <c r="AS7">
        <v>79.047517319254126</v>
      </c>
      <c r="AT7">
        <v>85.24887844477675</v>
      </c>
      <c r="AU7">
        <v>134.27991576891384</v>
      </c>
      <c r="AV7">
        <v>85.41673024689473</v>
      </c>
      <c r="AW7">
        <v>83.948789941099278</v>
      </c>
      <c r="AX7">
        <v>142.61757255775626</v>
      </c>
      <c r="AY7">
        <v>99.455244605853451</v>
      </c>
      <c r="AZ7">
        <v>87.006744590594195</v>
      </c>
      <c r="BA7">
        <v>143.97259437849056</v>
      </c>
      <c r="BB7">
        <v>99.726859340189833</v>
      </c>
      <c r="BC7">
        <v>146.04174932096316</v>
      </c>
      <c r="BD7">
        <v>135.84246345408491</v>
      </c>
      <c r="BE7">
        <v>121.75817133091221</v>
      </c>
      <c r="BF7">
        <v>123.40311899166845</v>
      </c>
      <c r="BG7">
        <v>114.24756614886928</v>
      </c>
      <c r="BH7">
        <v>82.462538529618215</v>
      </c>
      <c r="BI7">
        <v>121.35227515488144</v>
      </c>
      <c r="BJ7">
        <v>126.76015503402814</v>
      </c>
      <c r="BK7">
        <v>136.24835963011566</v>
      </c>
      <c r="BL7">
        <v>104.80819116794336</v>
      </c>
      <c r="BM7">
        <v>135.55864131595814</v>
      </c>
      <c r="BN7">
        <v>101.53355510116886</v>
      </c>
      <c r="BO7">
        <v>76.343577379680781</v>
      </c>
      <c r="BP7">
        <v>141.4731284524064</v>
      </c>
      <c r="BQ7">
        <v>104.11847285378582</v>
      </c>
      <c r="BR7">
        <v>111.9617297891171</v>
      </c>
      <c r="BS7">
        <v>141.4700766014588</v>
      </c>
      <c r="BT7">
        <v>122.67983031708731</v>
      </c>
      <c r="BU7">
        <v>133.27890865810113</v>
      </c>
      <c r="BV7">
        <v>98.518326364940336</v>
      </c>
      <c r="BW7">
        <v>82.523575548570207</v>
      </c>
      <c r="BX7">
        <v>128.78963591418196</v>
      </c>
      <c r="BY7">
        <v>132.79061250648519</v>
      </c>
      <c r="BZ7">
        <v>129.4793542283395</v>
      </c>
      <c r="CA7">
        <v>52.145451216162606</v>
      </c>
      <c r="CB7">
        <v>79.474776451918089</v>
      </c>
      <c r="CC7">
        <v>60.864589373455004</v>
      </c>
      <c r="CD7">
        <v>128.48139896847437</v>
      </c>
      <c r="CE7">
        <v>134.560686056093</v>
      </c>
      <c r="CF7">
        <v>106.68202764976959</v>
      </c>
      <c r="CG7">
        <v>117.81823175756097</v>
      </c>
      <c r="CH7">
        <v>56.161687063203836</v>
      </c>
      <c r="CI7">
        <v>113.11838129825739</v>
      </c>
      <c r="CJ7">
        <v>114.50086977752007</v>
      </c>
      <c r="CK7">
        <v>78.916287728507342</v>
      </c>
      <c r="CL7">
        <v>74.060792870876185</v>
      </c>
      <c r="CM7">
        <v>91.163365581225008</v>
      </c>
      <c r="CN7">
        <v>79.084139530625322</v>
      </c>
      <c r="CO7">
        <v>107.16422009949034</v>
      </c>
      <c r="CP7">
        <v>68.826868495742673</v>
      </c>
      <c r="CQ7">
        <v>131.83538315988648</v>
      </c>
      <c r="CR7">
        <v>91.731009857478568</v>
      </c>
      <c r="CS7">
        <v>136.53218176824242</v>
      </c>
      <c r="CT7">
        <v>64.938810388500627</v>
      </c>
      <c r="CU7">
        <v>132.448805200354</v>
      </c>
      <c r="CV7">
        <v>98.240607928708755</v>
      </c>
    </row>
    <row r="8" spans="1:100" x14ac:dyDescent="0.25">
      <c r="A8">
        <v>123.50993377483444</v>
      </c>
      <c r="B8">
        <v>101.12460707419049</v>
      </c>
      <c r="C8">
        <v>84.501174962614826</v>
      </c>
      <c r="D8">
        <v>104.39619129001738</v>
      </c>
      <c r="E8">
        <v>128.54853968932156</v>
      </c>
      <c r="F8">
        <v>72.894985808893097</v>
      </c>
      <c r="G8">
        <v>134.50575273903621</v>
      </c>
      <c r="H8">
        <v>80.509353923154393</v>
      </c>
      <c r="I8">
        <v>55.606250190740681</v>
      </c>
      <c r="J8">
        <v>124.13556321909238</v>
      </c>
      <c r="K8">
        <v>87.61711478011415</v>
      </c>
      <c r="L8">
        <v>88.370921964171259</v>
      </c>
      <c r="M8">
        <v>67.346720786156808</v>
      </c>
      <c r="N8">
        <v>72.199163792840352</v>
      </c>
      <c r="O8">
        <v>125.81408124027223</v>
      </c>
      <c r="P8">
        <v>129.94323557237465</v>
      </c>
      <c r="Q8">
        <v>64.17889950254829</v>
      </c>
      <c r="R8">
        <v>146.94509720145268</v>
      </c>
      <c r="S8">
        <v>116.2038026062807</v>
      </c>
      <c r="T8">
        <v>83.838923306985691</v>
      </c>
      <c r="U8">
        <v>120.47029023102512</v>
      </c>
      <c r="V8">
        <v>144.66536454359567</v>
      </c>
      <c r="W8">
        <v>61.761833552049318</v>
      </c>
      <c r="X8">
        <v>115.58732871486556</v>
      </c>
      <c r="Y8">
        <v>66.2327951902829</v>
      </c>
      <c r="Z8">
        <v>145.46800134281443</v>
      </c>
      <c r="AA8">
        <v>61.65501876888333</v>
      </c>
      <c r="AB8">
        <v>59.192175054170356</v>
      </c>
      <c r="AC8">
        <v>54.977568895535143</v>
      </c>
      <c r="AD8">
        <v>72.287667470320741</v>
      </c>
      <c r="AE8">
        <v>146.74062318796351</v>
      </c>
      <c r="AF8">
        <v>73.105563524277471</v>
      </c>
      <c r="AG8">
        <v>108.29035309915463</v>
      </c>
      <c r="AH8">
        <v>119.60661641285439</v>
      </c>
      <c r="AI8">
        <v>105.90075380718406</v>
      </c>
      <c r="AJ8">
        <v>123.72051149021883</v>
      </c>
      <c r="AK8">
        <v>77.799310281685848</v>
      </c>
      <c r="AL8">
        <v>130.01342814416944</v>
      </c>
      <c r="AM8">
        <v>68.832972197637872</v>
      </c>
      <c r="AN8">
        <v>99.555955687124239</v>
      </c>
      <c r="AO8">
        <v>115.1936399426252</v>
      </c>
      <c r="AP8">
        <v>146.7711416974395</v>
      </c>
      <c r="AQ8">
        <v>60.870693075350204</v>
      </c>
      <c r="AR8">
        <v>109.21811578722496</v>
      </c>
      <c r="AS8">
        <v>90.794091616565453</v>
      </c>
      <c r="AT8">
        <v>120.46113467818232</v>
      </c>
      <c r="AU8">
        <v>95.542771691030609</v>
      </c>
      <c r="AV8">
        <v>66.272469252601695</v>
      </c>
      <c r="AW8">
        <v>51.455732902005067</v>
      </c>
      <c r="AX8">
        <v>97.874385814996799</v>
      </c>
      <c r="AY8">
        <v>66.382335886715296</v>
      </c>
      <c r="AZ8">
        <v>104.01470992156743</v>
      </c>
      <c r="BA8">
        <v>99.061555833613085</v>
      </c>
      <c r="BB8">
        <v>137.70409253212074</v>
      </c>
      <c r="BC8">
        <v>57.614368114261296</v>
      </c>
      <c r="BD8">
        <v>118.84060182500687</v>
      </c>
      <c r="BE8">
        <v>136.88009277626878</v>
      </c>
      <c r="BF8">
        <v>133.82518997772149</v>
      </c>
      <c r="BG8">
        <v>71.198156682027644</v>
      </c>
      <c r="BH8">
        <v>80.259102145451209</v>
      </c>
      <c r="BI8">
        <v>122.07861568041018</v>
      </c>
      <c r="BJ8">
        <v>141.90343943601795</v>
      </c>
      <c r="BK8">
        <v>139.72441785943175</v>
      </c>
      <c r="BL8">
        <v>145.04989776299325</v>
      </c>
      <c r="BM8">
        <v>70.728171636097301</v>
      </c>
      <c r="BN8">
        <v>104.60371715445419</v>
      </c>
      <c r="BO8">
        <v>112.57820368053224</v>
      </c>
      <c r="BP8">
        <v>82.862331003753781</v>
      </c>
      <c r="BQ8">
        <v>70.386364329966128</v>
      </c>
      <c r="BR8">
        <v>119.65544602801599</v>
      </c>
      <c r="BS8">
        <v>65.381328775902588</v>
      </c>
      <c r="BT8">
        <v>110.44190801721244</v>
      </c>
      <c r="BU8">
        <v>90.025025177770317</v>
      </c>
      <c r="BV8">
        <v>72.568437757499922</v>
      </c>
      <c r="BW8">
        <v>114.31470686971649</v>
      </c>
      <c r="BX8">
        <v>111.14383373516037</v>
      </c>
      <c r="BY8">
        <v>133.90758995330668</v>
      </c>
      <c r="BZ8">
        <v>137.53013702810756</v>
      </c>
      <c r="CA8">
        <v>125.92394787438582</v>
      </c>
      <c r="CB8">
        <v>67.978453932309947</v>
      </c>
      <c r="CC8">
        <v>55.008087405011139</v>
      </c>
      <c r="CD8">
        <v>99.577318643757437</v>
      </c>
      <c r="CE8">
        <v>63.101596118045592</v>
      </c>
      <c r="CF8">
        <v>88.218329416791278</v>
      </c>
      <c r="CG8">
        <v>93.68419446394239</v>
      </c>
      <c r="CH8">
        <v>101.20700704977568</v>
      </c>
      <c r="CI8">
        <v>57.800531022064881</v>
      </c>
      <c r="CJ8">
        <v>147.74468214972381</v>
      </c>
      <c r="CK8">
        <v>57.086397900326546</v>
      </c>
      <c r="CL8">
        <v>66.492202520828883</v>
      </c>
      <c r="CM8">
        <v>51.120029297769094</v>
      </c>
      <c r="CN8">
        <v>133.25754570146793</v>
      </c>
      <c r="CO8">
        <v>105.09811700796533</v>
      </c>
      <c r="CP8">
        <v>105.88854640339366</v>
      </c>
      <c r="CQ8">
        <v>91.43498031556139</v>
      </c>
      <c r="CR8">
        <v>110.44190801721244</v>
      </c>
      <c r="CS8">
        <v>58.279671620838037</v>
      </c>
      <c r="CT8">
        <v>54.821924497207554</v>
      </c>
      <c r="CU8">
        <v>131.11209448530533</v>
      </c>
      <c r="CV8">
        <v>96.253852961821337</v>
      </c>
    </row>
    <row r="9" spans="1:100" x14ac:dyDescent="0.25">
      <c r="A9">
        <v>120.43366801965392</v>
      </c>
      <c r="B9">
        <v>114.15601062044129</v>
      </c>
      <c r="C9">
        <v>58.322397534104432</v>
      </c>
      <c r="D9">
        <v>71.22867519150364</v>
      </c>
      <c r="E9">
        <v>81.974242378002259</v>
      </c>
      <c r="F9">
        <v>94.260994293038721</v>
      </c>
      <c r="G9">
        <v>95.07889034699545</v>
      </c>
      <c r="H9">
        <v>115.88641010773034</v>
      </c>
      <c r="I9">
        <v>124.85580004272592</v>
      </c>
      <c r="J9">
        <v>110.30152287362284</v>
      </c>
      <c r="K9">
        <v>87.354655598620553</v>
      </c>
      <c r="L9">
        <v>94.645527512436303</v>
      </c>
      <c r="M9">
        <v>91.554002502517775</v>
      </c>
      <c r="N9">
        <v>92.088076418347725</v>
      </c>
      <c r="O9">
        <v>123.87615588854641</v>
      </c>
      <c r="P9">
        <v>56.799523911252173</v>
      </c>
      <c r="Q9">
        <v>137.76207770012513</v>
      </c>
      <c r="R9">
        <v>111.86407055879391</v>
      </c>
      <c r="S9">
        <v>120.01251258888516</v>
      </c>
      <c r="T9">
        <v>110.02075258644368</v>
      </c>
      <c r="U9">
        <v>129.21079134495074</v>
      </c>
      <c r="V9">
        <v>56.271553697317422</v>
      </c>
      <c r="W9">
        <v>114.30555131687369</v>
      </c>
      <c r="X9">
        <v>93.19895016327402</v>
      </c>
      <c r="Y9">
        <v>135.58000427259134</v>
      </c>
      <c r="Z9">
        <v>107.14285714285714</v>
      </c>
      <c r="AA9">
        <v>138.67152928250982</v>
      </c>
      <c r="AB9">
        <v>128.43867305520797</v>
      </c>
      <c r="AC9">
        <v>87.104403820917383</v>
      </c>
      <c r="AD9">
        <v>134.17615283669545</v>
      </c>
      <c r="AE9">
        <v>52.80465102084414</v>
      </c>
      <c r="AF9">
        <v>80.228583635975212</v>
      </c>
      <c r="AG9">
        <v>109.49583422345653</v>
      </c>
      <c r="AH9">
        <v>52.661214026306958</v>
      </c>
      <c r="AI9">
        <v>83.530686361278114</v>
      </c>
      <c r="AJ9">
        <v>99.9984740745262</v>
      </c>
      <c r="AK9">
        <v>102.81228064821315</v>
      </c>
      <c r="AL9">
        <v>149.38962981048005</v>
      </c>
      <c r="AM9">
        <v>59.607226783043913</v>
      </c>
      <c r="AN9">
        <v>84.134952848902856</v>
      </c>
      <c r="AO9">
        <v>79.902035584582052</v>
      </c>
      <c r="AP9">
        <v>129.80590227973266</v>
      </c>
      <c r="AQ9">
        <v>82.694479201635787</v>
      </c>
      <c r="AR9">
        <v>123.60148930326243</v>
      </c>
      <c r="AS9">
        <v>130.03784295175024</v>
      </c>
      <c r="AT9">
        <v>89.628284554582365</v>
      </c>
      <c r="AU9">
        <v>125.07858516190069</v>
      </c>
      <c r="AV9">
        <v>73.28257087923825</v>
      </c>
      <c r="AW9">
        <v>123.36649678029725</v>
      </c>
      <c r="AX9">
        <v>63.968321787163916</v>
      </c>
      <c r="AY9">
        <v>93.556016724143191</v>
      </c>
      <c r="AZ9">
        <v>149.18210394604327</v>
      </c>
      <c r="BA9">
        <v>112.52327036347545</v>
      </c>
      <c r="BB9">
        <v>63.418988616595968</v>
      </c>
      <c r="BC9">
        <v>143.18521683400985</v>
      </c>
      <c r="BD9">
        <v>90.864284188360244</v>
      </c>
      <c r="BE9">
        <v>83.93658253730888</v>
      </c>
      <c r="BF9">
        <v>55.291909543137912</v>
      </c>
      <c r="BG9">
        <v>62.695699942014834</v>
      </c>
      <c r="BH9">
        <v>106.48365733817562</v>
      </c>
      <c r="BI9">
        <v>135.8851893673513</v>
      </c>
      <c r="BJ9">
        <v>139.19034394360179</v>
      </c>
      <c r="BK9">
        <v>83.411664174321729</v>
      </c>
      <c r="BL9">
        <v>52.346873378704181</v>
      </c>
      <c r="BM9">
        <v>98.695333719901129</v>
      </c>
      <c r="BN9">
        <v>76.313058870204785</v>
      </c>
      <c r="BO9">
        <v>115.10818811609241</v>
      </c>
      <c r="BP9">
        <v>68.878749961851867</v>
      </c>
      <c r="BQ9">
        <v>91.770683919797364</v>
      </c>
      <c r="BR9">
        <v>136.42841883602404</v>
      </c>
      <c r="BS9">
        <v>114.56190679647206</v>
      </c>
      <c r="BT9">
        <v>137.56370738853116</v>
      </c>
      <c r="BU9">
        <v>65.262306588946188</v>
      </c>
      <c r="BV9">
        <v>135.36637470625936</v>
      </c>
      <c r="BW9">
        <v>85.505233924375133</v>
      </c>
      <c r="BX9">
        <v>143.53617969298381</v>
      </c>
      <c r="BY9">
        <v>124.71541489913632</v>
      </c>
      <c r="BZ9">
        <v>123.50993377483444</v>
      </c>
      <c r="CA9">
        <v>125.65843684194465</v>
      </c>
      <c r="CB9">
        <v>97.010711996826075</v>
      </c>
      <c r="CC9">
        <v>79.395428327280499</v>
      </c>
      <c r="CD9">
        <v>103.39518417920469</v>
      </c>
      <c r="CE9">
        <v>86.454359569078647</v>
      </c>
      <c r="CF9">
        <v>116.57918027283547</v>
      </c>
      <c r="CG9">
        <v>104.83870967741936</v>
      </c>
      <c r="CH9">
        <v>104.5121616260262</v>
      </c>
      <c r="CI9">
        <v>61.105685598315375</v>
      </c>
      <c r="CJ9">
        <v>127.55363628040406</v>
      </c>
      <c r="CK9">
        <v>60.296945097201451</v>
      </c>
      <c r="CL9">
        <v>93.491927854243599</v>
      </c>
      <c r="CM9">
        <v>66.574602496414073</v>
      </c>
      <c r="CN9">
        <v>78.498184148686178</v>
      </c>
      <c r="CO9">
        <v>51.693777275917846</v>
      </c>
      <c r="CP9">
        <v>147.73552659688102</v>
      </c>
      <c r="CQ9">
        <v>135.15579699087496</v>
      </c>
      <c r="CR9">
        <v>129.03378398998993</v>
      </c>
      <c r="CS9">
        <v>80.70162053285317</v>
      </c>
      <c r="CT9">
        <v>70.667134617145308</v>
      </c>
      <c r="CU9">
        <v>81.226538895840321</v>
      </c>
      <c r="CV9">
        <v>112.03497421185949</v>
      </c>
    </row>
    <row r="10" spans="1:100" x14ac:dyDescent="0.25">
      <c r="A10">
        <v>94.74929044465469</v>
      </c>
      <c r="B10">
        <v>119.19766838587603</v>
      </c>
      <c r="C10">
        <v>121.8161564989166</v>
      </c>
      <c r="D10">
        <v>57.12912381359294</v>
      </c>
      <c r="E10">
        <v>58.536027100436414</v>
      </c>
      <c r="F10">
        <v>71.655934324167603</v>
      </c>
      <c r="G10">
        <v>112.06244087038789</v>
      </c>
      <c r="H10">
        <v>106.19373149815362</v>
      </c>
      <c r="I10">
        <v>63.834040345469532</v>
      </c>
      <c r="J10">
        <v>62.558366649372843</v>
      </c>
      <c r="K10">
        <v>126.20777001251258</v>
      </c>
      <c r="L10">
        <v>81.525620288705099</v>
      </c>
      <c r="M10">
        <v>149.59715567491685</v>
      </c>
      <c r="N10">
        <v>74.884792626728114</v>
      </c>
      <c r="O10">
        <v>65.741447187719359</v>
      </c>
      <c r="P10">
        <v>77.307962279122293</v>
      </c>
      <c r="Q10">
        <v>87.226477858821369</v>
      </c>
      <c r="R10">
        <v>82.557145908993803</v>
      </c>
      <c r="S10">
        <v>94.511246070741905</v>
      </c>
      <c r="T10">
        <v>95.24979400006103</v>
      </c>
      <c r="U10">
        <v>141.97363200781274</v>
      </c>
      <c r="V10">
        <v>128.76216925565356</v>
      </c>
      <c r="W10">
        <v>116.18243964964751</v>
      </c>
      <c r="X10">
        <v>74.570451979125338</v>
      </c>
      <c r="Y10">
        <v>95.426801355021823</v>
      </c>
      <c r="Z10">
        <v>120.90365306558428</v>
      </c>
      <c r="AA10">
        <v>101.96386608478042</v>
      </c>
      <c r="AB10">
        <v>71.414838099307232</v>
      </c>
      <c r="AC10">
        <v>119.83245338297678</v>
      </c>
      <c r="AD10">
        <v>70.24597918637653</v>
      </c>
      <c r="AE10">
        <v>84.125797296060057</v>
      </c>
      <c r="AF10">
        <v>140.80477309488202</v>
      </c>
      <c r="AG10">
        <v>144.72029786065247</v>
      </c>
      <c r="AH10">
        <v>54.437391277809994</v>
      </c>
      <c r="AI10">
        <v>80.945768608661155</v>
      </c>
      <c r="AJ10">
        <v>124.22406689657277</v>
      </c>
      <c r="AK10">
        <v>106.6057313760796</v>
      </c>
      <c r="AL10">
        <v>130.99307229834895</v>
      </c>
      <c r="AM10">
        <v>68.759727774895481</v>
      </c>
      <c r="AN10">
        <v>96.043275246436963</v>
      </c>
      <c r="AO10">
        <v>122.26783043916136</v>
      </c>
      <c r="AP10">
        <v>79.883724478896454</v>
      </c>
      <c r="AQ10">
        <v>66.678365428632475</v>
      </c>
      <c r="AR10">
        <v>71.826837977233197</v>
      </c>
      <c r="AS10">
        <v>76.325266273995183</v>
      </c>
      <c r="AT10">
        <v>103.3585619678335</v>
      </c>
      <c r="AU10">
        <v>149.65208899197364</v>
      </c>
      <c r="AV10">
        <v>131.67668691061129</v>
      </c>
      <c r="AW10">
        <v>63.675344096194344</v>
      </c>
      <c r="AX10">
        <v>61.111789300210575</v>
      </c>
      <c r="AY10">
        <v>70.587786492507703</v>
      </c>
      <c r="AZ10">
        <v>76.709799493392751</v>
      </c>
      <c r="BA10">
        <v>58.835108493301185</v>
      </c>
      <c r="BB10">
        <v>123.42143009735405</v>
      </c>
      <c r="BC10">
        <v>109.44090090639973</v>
      </c>
      <c r="BD10">
        <v>124.11114841151158</v>
      </c>
      <c r="BE10">
        <v>75.724051637318041</v>
      </c>
      <c r="BF10">
        <v>142.55958738975187</v>
      </c>
      <c r="BG10">
        <v>101.40537736136967</v>
      </c>
      <c r="BH10">
        <v>123.73271889400922</v>
      </c>
      <c r="BI10">
        <v>79.425946836756495</v>
      </c>
      <c r="BJ10">
        <v>136.47114474929043</v>
      </c>
      <c r="BK10">
        <v>66.541032135990477</v>
      </c>
      <c r="BL10">
        <v>101.96386608478042</v>
      </c>
      <c r="BM10">
        <v>81.046479689931942</v>
      </c>
      <c r="BN10">
        <v>50.973540452284311</v>
      </c>
      <c r="BO10">
        <v>79.950865199743646</v>
      </c>
      <c r="BP10">
        <v>145.85253456221199</v>
      </c>
      <c r="BQ10">
        <v>132.39692373424481</v>
      </c>
      <c r="BR10">
        <v>141.83935056611836</v>
      </c>
      <c r="BS10">
        <v>90.784936063722654</v>
      </c>
      <c r="BT10">
        <v>108.57417523728141</v>
      </c>
      <c r="BU10">
        <v>122.02978606524857</v>
      </c>
      <c r="BV10">
        <v>149.11496322519608</v>
      </c>
      <c r="BW10">
        <v>111.75725577562793</v>
      </c>
      <c r="BX10">
        <v>103.40739158299509</v>
      </c>
      <c r="BY10">
        <v>105.87328714865566</v>
      </c>
      <c r="BZ10">
        <v>67.743461409344775</v>
      </c>
      <c r="CA10">
        <v>119.79277932065798</v>
      </c>
      <c r="CB10">
        <v>64.273506881923879</v>
      </c>
      <c r="CC10">
        <v>138.0642109439375</v>
      </c>
      <c r="CD10">
        <v>117.60765404217658</v>
      </c>
      <c r="CE10">
        <v>58.429212317270427</v>
      </c>
      <c r="CF10">
        <v>101.0422070986053</v>
      </c>
      <c r="CG10">
        <v>117.57408368175298</v>
      </c>
      <c r="CH10">
        <v>66.089358195745717</v>
      </c>
      <c r="CI10">
        <v>82.612079226050597</v>
      </c>
      <c r="CJ10">
        <v>127.64519180883205</v>
      </c>
      <c r="CK10">
        <v>116.3136692403943</v>
      </c>
      <c r="CL10">
        <v>106.30054628131961</v>
      </c>
      <c r="CM10">
        <v>136.47419660023803</v>
      </c>
      <c r="CN10">
        <v>91.209143345439003</v>
      </c>
      <c r="CO10">
        <v>104.2802209540086</v>
      </c>
      <c r="CP10">
        <v>144.11908322397534</v>
      </c>
      <c r="CQ10">
        <v>104.77767265846737</v>
      </c>
      <c r="CR10">
        <v>80.265205847346408</v>
      </c>
      <c r="CS10">
        <v>137.41416669209877</v>
      </c>
      <c r="CT10">
        <v>97.117526779992062</v>
      </c>
      <c r="CU10">
        <v>128.60347300637835</v>
      </c>
      <c r="CV10">
        <v>140.1913510544145</v>
      </c>
    </row>
    <row r="11" spans="1:100" x14ac:dyDescent="0.25">
      <c r="A11">
        <v>55.432294686727502</v>
      </c>
      <c r="B11">
        <v>61.749626148258919</v>
      </c>
      <c r="C11">
        <v>77.451399273659476</v>
      </c>
      <c r="D11">
        <v>68.927579577013461</v>
      </c>
      <c r="E11">
        <v>101.19174779503768</v>
      </c>
      <c r="F11">
        <v>67.078157902768027</v>
      </c>
      <c r="G11">
        <v>83.088167973876153</v>
      </c>
      <c r="H11">
        <v>138.91872920926542</v>
      </c>
      <c r="I11">
        <v>75.226599932859273</v>
      </c>
      <c r="J11">
        <v>58.761864070558794</v>
      </c>
      <c r="K11">
        <v>69.193090609454629</v>
      </c>
      <c r="L11">
        <v>89.512314218573565</v>
      </c>
      <c r="M11">
        <v>119.579149754326</v>
      </c>
      <c r="N11">
        <v>68.756675923947881</v>
      </c>
      <c r="O11">
        <v>115.74602496414074</v>
      </c>
      <c r="P11">
        <v>103.27005829035309</v>
      </c>
      <c r="Q11">
        <v>69.034394360179448</v>
      </c>
      <c r="R11">
        <v>95.268105105746628</v>
      </c>
      <c r="S11">
        <v>70.346690267647318</v>
      </c>
      <c r="T11">
        <v>60.684530167546619</v>
      </c>
      <c r="U11">
        <v>62.240974150822474</v>
      </c>
      <c r="V11">
        <v>131.99102755821406</v>
      </c>
      <c r="W11">
        <v>73.075045014801475</v>
      </c>
      <c r="X11">
        <v>128.09076204718161</v>
      </c>
      <c r="Y11">
        <v>90.485854670857876</v>
      </c>
      <c r="Z11">
        <v>84.205145420697647</v>
      </c>
      <c r="AA11">
        <v>120.6167790765099</v>
      </c>
      <c r="AB11">
        <v>127.78252510147404</v>
      </c>
      <c r="AC11">
        <v>99.812311166722623</v>
      </c>
      <c r="AD11">
        <v>124.9687185277871</v>
      </c>
      <c r="AE11">
        <v>110.26795251319925</v>
      </c>
      <c r="AF11">
        <v>68.506424146244697</v>
      </c>
      <c r="AG11">
        <v>112.07464827417829</v>
      </c>
      <c r="AH11">
        <v>94.4288460951567</v>
      </c>
      <c r="AI11">
        <v>54.446546830652792</v>
      </c>
      <c r="AJ11">
        <v>64.419995727408676</v>
      </c>
      <c r="AK11">
        <v>80.567339091158786</v>
      </c>
      <c r="AL11">
        <v>95.442060609759821</v>
      </c>
      <c r="AM11">
        <v>106.35242774742881</v>
      </c>
      <c r="AN11">
        <v>120.6411938840907</v>
      </c>
      <c r="AO11">
        <v>145.84948271126439</v>
      </c>
      <c r="AP11">
        <v>88.608966338084059</v>
      </c>
      <c r="AQ11">
        <v>87.348551896725354</v>
      </c>
      <c r="AR11">
        <v>113.53038117618337</v>
      </c>
      <c r="AS11">
        <v>107.38395336771752</v>
      </c>
      <c r="AT11">
        <v>139.84649189733574</v>
      </c>
      <c r="AU11">
        <v>56.775109103671376</v>
      </c>
      <c r="AV11">
        <v>143.84441663869137</v>
      </c>
      <c r="AW11">
        <v>76.630451368755146</v>
      </c>
      <c r="AX11">
        <v>123.61674855800042</v>
      </c>
      <c r="AY11">
        <v>123.77849665822322</v>
      </c>
      <c r="AZ11">
        <v>58.548234504226812</v>
      </c>
      <c r="BA11">
        <v>125.90868861964782</v>
      </c>
      <c r="BB11">
        <v>73.999755851924192</v>
      </c>
      <c r="BC11">
        <v>133.66954557939391</v>
      </c>
      <c r="BD11">
        <v>129.4793542283395</v>
      </c>
      <c r="BE11">
        <v>107.6006347849971</v>
      </c>
      <c r="BF11">
        <v>56.619464705343788</v>
      </c>
      <c r="BG11">
        <v>69.315164647358628</v>
      </c>
      <c r="BH11">
        <v>72.21442304757835</v>
      </c>
      <c r="BI11">
        <v>129.76622821741387</v>
      </c>
      <c r="BJ11">
        <v>140.75594347972043</v>
      </c>
      <c r="BK11">
        <v>59.759819330423902</v>
      </c>
      <c r="BL11">
        <v>88.166447950682084</v>
      </c>
      <c r="BM11">
        <v>72.611163670766317</v>
      </c>
      <c r="BN11">
        <v>82.490005188146611</v>
      </c>
      <c r="BO11">
        <v>96.559038056581315</v>
      </c>
      <c r="BP11">
        <v>73.206274605548259</v>
      </c>
      <c r="BQ11">
        <v>86.844996490371415</v>
      </c>
      <c r="BR11">
        <v>64.737388225959052</v>
      </c>
      <c r="BS11">
        <v>75.943784905545215</v>
      </c>
      <c r="BT11">
        <v>53.732413708914457</v>
      </c>
      <c r="BU11">
        <v>98.005615405743583</v>
      </c>
      <c r="BV11">
        <v>146.67043061616869</v>
      </c>
      <c r="BW11">
        <v>63.0344553971984</v>
      </c>
      <c r="BX11">
        <v>56.506546220282601</v>
      </c>
      <c r="BY11">
        <v>109.46226386303293</v>
      </c>
      <c r="BZ11">
        <v>117.23227637562181</v>
      </c>
      <c r="CA11">
        <v>143.76201666310618</v>
      </c>
      <c r="CB11">
        <v>115.38895840327157</v>
      </c>
      <c r="CC11">
        <v>94.672994170964699</v>
      </c>
      <c r="CD11">
        <v>80.918301950132758</v>
      </c>
      <c r="CE11">
        <v>80.097354045228428</v>
      </c>
      <c r="CF11">
        <v>68.140202032532727</v>
      </c>
      <c r="CG11">
        <v>119.30448316904202</v>
      </c>
      <c r="CH11">
        <v>53.860591448713642</v>
      </c>
      <c r="CI11">
        <v>134.24024170659504</v>
      </c>
      <c r="CJ11">
        <v>146.38050477614672</v>
      </c>
      <c r="CK11">
        <v>83.875545518356887</v>
      </c>
      <c r="CL11">
        <v>98.414563432721948</v>
      </c>
      <c r="CM11">
        <v>77.368999298074286</v>
      </c>
      <c r="CN11">
        <v>111.81218909268472</v>
      </c>
      <c r="CO11">
        <v>127.53227332377087</v>
      </c>
      <c r="CP11">
        <v>74.347666859950564</v>
      </c>
      <c r="CQ11">
        <v>148.59309671315651</v>
      </c>
      <c r="CR11">
        <v>141.89733573412275</v>
      </c>
      <c r="CS11">
        <v>83.56730857264931</v>
      </c>
      <c r="CT11">
        <v>134.75295266579181</v>
      </c>
      <c r="CU11">
        <v>79.703665272988076</v>
      </c>
      <c r="CV11">
        <v>118.04101687673574</v>
      </c>
    </row>
    <row r="12" spans="1:100" x14ac:dyDescent="0.25">
      <c r="A12">
        <v>114.72975859859005</v>
      </c>
      <c r="B12">
        <v>90.836817529831848</v>
      </c>
      <c r="C12">
        <v>127.19962157048251</v>
      </c>
      <c r="D12">
        <v>134.95437482833339</v>
      </c>
      <c r="E12">
        <v>78.489028595843379</v>
      </c>
      <c r="F12">
        <v>145.48326059755243</v>
      </c>
      <c r="G12">
        <v>107.7074495681631</v>
      </c>
      <c r="H12">
        <v>113.40830713827935</v>
      </c>
      <c r="I12">
        <v>123.21695608386486</v>
      </c>
      <c r="J12">
        <v>50.906399731437119</v>
      </c>
      <c r="K12">
        <v>132.95846430860317</v>
      </c>
      <c r="L12">
        <v>132.01544236579485</v>
      </c>
      <c r="M12">
        <v>127.51091036713767</v>
      </c>
      <c r="N12">
        <v>128.2006286812952</v>
      </c>
      <c r="O12">
        <v>119.04507583849605</v>
      </c>
      <c r="P12">
        <v>54.434339426862394</v>
      </c>
      <c r="Q12">
        <v>114.49171422467727</v>
      </c>
      <c r="R12">
        <v>115.66057313760795</v>
      </c>
      <c r="S12">
        <v>78.058717612231817</v>
      </c>
      <c r="T12">
        <v>113.39609973448896</v>
      </c>
      <c r="U12">
        <v>129.00936918240913</v>
      </c>
      <c r="V12">
        <v>99.687185277871023</v>
      </c>
      <c r="W12">
        <v>137.97265541550951</v>
      </c>
      <c r="X12">
        <v>113.51512192144537</v>
      </c>
      <c r="Y12">
        <v>141.61351359599598</v>
      </c>
      <c r="Z12">
        <v>65.36301767021699</v>
      </c>
      <c r="AA12">
        <v>103.3280434583575</v>
      </c>
      <c r="AB12">
        <v>111.71147801141393</v>
      </c>
      <c r="AC12">
        <v>119.89043855098117</v>
      </c>
      <c r="AD12">
        <v>144.93087557603687</v>
      </c>
      <c r="AE12">
        <v>122.41126743369854</v>
      </c>
      <c r="AF12">
        <v>78.229621265297411</v>
      </c>
      <c r="AG12">
        <v>57.843256935331283</v>
      </c>
      <c r="AH12">
        <v>92.173528244880515</v>
      </c>
      <c r="AI12">
        <v>76.447340311899168</v>
      </c>
      <c r="AJ12">
        <v>91.483809930722984</v>
      </c>
      <c r="AK12">
        <v>103.86822107608265</v>
      </c>
      <c r="AL12">
        <v>60.989715262306589</v>
      </c>
      <c r="AM12">
        <v>56.549272133548996</v>
      </c>
      <c r="AN12">
        <v>69.815668202764982</v>
      </c>
      <c r="AO12">
        <v>77.997680593279824</v>
      </c>
      <c r="AP12">
        <v>116.12750633259071</v>
      </c>
      <c r="AQ12">
        <v>143.92986846522416</v>
      </c>
      <c r="AR12">
        <v>93.269142735068812</v>
      </c>
      <c r="AS12">
        <v>119.04507583849605</v>
      </c>
      <c r="AT12">
        <v>54.278695028534806</v>
      </c>
      <c r="AU12">
        <v>59.079256569109162</v>
      </c>
      <c r="AV12">
        <v>118.55677968688011</v>
      </c>
      <c r="AW12">
        <v>52.230903042695395</v>
      </c>
      <c r="AX12">
        <v>63.684499649037143</v>
      </c>
      <c r="AY12">
        <v>127.34916226691489</v>
      </c>
      <c r="AZ12">
        <v>144.79354228339488</v>
      </c>
      <c r="BA12">
        <v>51.419110690633872</v>
      </c>
      <c r="BB12">
        <v>119.45402386547441</v>
      </c>
      <c r="BC12">
        <v>107.22220526749473</v>
      </c>
      <c r="BD12">
        <v>51.461836603900267</v>
      </c>
      <c r="BE12">
        <v>96.63533433027132</v>
      </c>
      <c r="BF12">
        <v>75.806451612903231</v>
      </c>
      <c r="BG12">
        <v>99.076815088351083</v>
      </c>
      <c r="BH12">
        <v>82.41981261635182</v>
      </c>
      <c r="BI12">
        <v>116.42658772545549</v>
      </c>
      <c r="BJ12">
        <v>81.781975768303482</v>
      </c>
      <c r="BK12">
        <v>75.153355510116882</v>
      </c>
      <c r="BL12">
        <v>102.04626606036561</v>
      </c>
      <c r="BM12">
        <v>124.32782982879115</v>
      </c>
      <c r="BN12">
        <v>126.68996246223334</v>
      </c>
      <c r="BO12">
        <v>127.73979918820764</v>
      </c>
      <c r="BP12">
        <v>102.86721396526994</v>
      </c>
      <c r="BQ12">
        <v>84.601886043885614</v>
      </c>
      <c r="BR12">
        <v>142.22388378551591</v>
      </c>
      <c r="BS12">
        <v>138.36634418774986</v>
      </c>
      <c r="BT12">
        <v>60.455641346476639</v>
      </c>
      <c r="BU12">
        <v>60.034485915707876</v>
      </c>
      <c r="BV12">
        <v>121.51402325510422</v>
      </c>
      <c r="BW12">
        <v>133.14462721640675</v>
      </c>
      <c r="BX12">
        <v>129.92797631763665</v>
      </c>
      <c r="BY12">
        <v>134.95132297738579</v>
      </c>
      <c r="BZ12">
        <v>112.61177404095584</v>
      </c>
      <c r="CA12">
        <v>114.85793633838924</v>
      </c>
      <c r="CB12">
        <v>112.14789269692068</v>
      </c>
      <c r="CC12">
        <v>129.04599139378033</v>
      </c>
      <c r="CD12">
        <v>139.48332163457138</v>
      </c>
      <c r="CE12">
        <v>112.44087038789026</v>
      </c>
      <c r="CF12">
        <v>67.831965086825164</v>
      </c>
      <c r="CG12">
        <v>67.66716513565477</v>
      </c>
      <c r="CH12">
        <v>53.677480391857664</v>
      </c>
      <c r="CI12">
        <v>138.46095156712545</v>
      </c>
      <c r="CJ12">
        <v>107.5731681264687</v>
      </c>
      <c r="CK12">
        <v>124.14777062288277</v>
      </c>
      <c r="CL12">
        <v>69.812616351817383</v>
      </c>
      <c r="CM12">
        <v>95.225379192480233</v>
      </c>
      <c r="CN12">
        <v>136.01031525620289</v>
      </c>
      <c r="CO12">
        <v>99.861140781884217</v>
      </c>
      <c r="CP12">
        <v>87.928403576769313</v>
      </c>
      <c r="CQ12">
        <v>120.17120883816035</v>
      </c>
      <c r="CR12">
        <v>78.1991027558214</v>
      </c>
      <c r="CS12">
        <v>57.568590350047302</v>
      </c>
      <c r="CT12">
        <v>55.90227973265786</v>
      </c>
      <c r="CU12">
        <v>111.10110782189398</v>
      </c>
      <c r="CV12">
        <v>66.351817377239286</v>
      </c>
    </row>
    <row r="13" spans="1:100" x14ac:dyDescent="0.25">
      <c r="A13">
        <v>95.551927243873408</v>
      </c>
      <c r="B13">
        <v>140.29816583758048</v>
      </c>
      <c r="C13">
        <v>117.97997985778375</v>
      </c>
      <c r="D13">
        <v>100.30060731833858</v>
      </c>
      <c r="E13">
        <v>103.86822107608265</v>
      </c>
      <c r="F13">
        <v>101.67088839381084</v>
      </c>
      <c r="G13">
        <v>52.407910397656181</v>
      </c>
      <c r="H13">
        <v>108.71761223181859</v>
      </c>
      <c r="I13">
        <v>141.32358775597402</v>
      </c>
      <c r="J13">
        <v>107.62199774163031</v>
      </c>
      <c r="K13">
        <v>60.284737693411053</v>
      </c>
      <c r="L13">
        <v>65.927610095522937</v>
      </c>
      <c r="M13">
        <v>53.170873134556111</v>
      </c>
      <c r="N13">
        <v>143.71013519699699</v>
      </c>
      <c r="O13">
        <v>70.908230842005679</v>
      </c>
      <c r="P13">
        <v>76.047547837763602</v>
      </c>
      <c r="Q13">
        <v>100.93539231543932</v>
      </c>
      <c r="R13">
        <v>53.753776665547655</v>
      </c>
      <c r="S13">
        <v>117.69310586870937</v>
      </c>
      <c r="T13">
        <v>94.175542466505931</v>
      </c>
      <c r="U13">
        <v>103.3524582659383</v>
      </c>
      <c r="V13">
        <v>79.425946836756495</v>
      </c>
      <c r="W13">
        <v>131.95745719779046</v>
      </c>
      <c r="X13">
        <v>107.44804223761712</v>
      </c>
      <c r="Y13">
        <v>105.70543534653768</v>
      </c>
      <c r="Z13">
        <v>114.80910672322764</v>
      </c>
      <c r="AA13">
        <v>91.630298776207766</v>
      </c>
      <c r="AB13">
        <v>51.455732902005067</v>
      </c>
      <c r="AC13">
        <v>143.05398724326304</v>
      </c>
      <c r="AD13">
        <v>79.197058015686508</v>
      </c>
      <c r="AE13">
        <v>115.45304727317118</v>
      </c>
      <c r="AF13">
        <v>90.156254768517101</v>
      </c>
      <c r="AG13">
        <v>113.045136875515</v>
      </c>
      <c r="AH13">
        <v>61.133152256843772</v>
      </c>
      <c r="AI13">
        <v>143.30729087191384</v>
      </c>
      <c r="AJ13">
        <v>137.35007782219918</v>
      </c>
      <c r="AK13">
        <v>123.9341410565508</v>
      </c>
      <c r="AL13">
        <v>136.89230018005918</v>
      </c>
      <c r="AM13">
        <v>93.308816797387607</v>
      </c>
      <c r="AN13">
        <v>147.91253395184179</v>
      </c>
      <c r="AO13">
        <v>133.40708639790034</v>
      </c>
      <c r="AP13">
        <v>116.46931363872189</v>
      </c>
      <c r="AQ13">
        <v>136.28803369243445</v>
      </c>
      <c r="AR13">
        <v>56.863612781151772</v>
      </c>
      <c r="AS13">
        <v>143.85052034058657</v>
      </c>
      <c r="AT13">
        <v>120.26886806848354</v>
      </c>
      <c r="AU13">
        <v>78.260139774773407</v>
      </c>
      <c r="AV13">
        <v>94.441053498947113</v>
      </c>
      <c r="AW13">
        <v>69.721060823389394</v>
      </c>
      <c r="AX13">
        <v>139.56572161015657</v>
      </c>
      <c r="AY13">
        <v>73.746452223273423</v>
      </c>
      <c r="AZ13">
        <v>75.040437025055695</v>
      </c>
      <c r="BA13">
        <v>121.97180089724418</v>
      </c>
      <c r="BB13">
        <v>115.03494369335002</v>
      </c>
      <c r="BC13">
        <v>125.44175542466506</v>
      </c>
      <c r="BD13">
        <v>101.93334757530442</v>
      </c>
      <c r="BE13">
        <v>69.763786736655788</v>
      </c>
      <c r="BF13">
        <v>62.979522080141606</v>
      </c>
      <c r="BG13">
        <v>77.356791894283887</v>
      </c>
      <c r="BH13">
        <v>149.75280007324443</v>
      </c>
      <c r="BI13">
        <v>143.16080202642902</v>
      </c>
      <c r="BJ13">
        <v>109.62706381420332</v>
      </c>
      <c r="BK13">
        <v>84.745323038422811</v>
      </c>
      <c r="BL13">
        <v>142.04687643055513</v>
      </c>
      <c r="BM13">
        <v>53.570665608691669</v>
      </c>
      <c r="BN13">
        <v>124.50483718375195</v>
      </c>
      <c r="BO13">
        <v>77.738273262733856</v>
      </c>
      <c r="BP13">
        <v>122.25257118442336</v>
      </c>
      <c r="BQ13">
        <v>119.18851283303323</v>
      </c>
      <c r="BR13">
        <v>57.596057008575698</v>
      </c>
      <c r="BS13">
        <v>142.76711325418864</v>
      </c>
      <c r="BT13">
        <v>71.955015717032381</v>
      </c>
      <c r="BU13">
        <v>122.64320810571611</v>
      </c>
      <c r="BV13">
        <v>128.80794701986756</v>
      </c>
      <c r="BW13">
        <v>66.650898770104078</v>
      </c>
      <c r="BX13">
        <v>141.07943968016602</v>
      </c>
      <c r="BY13">
        <v>132.96761986144597</v>
      </c>
      <c r="BZ13">
        <v>124.64522232734153</v>
      </c>
      <c r="CA13">
        <v>59.045686208685566</v>
      </c>
      <c r="CB13">
        <v>143.10892056031983</v>
      </c>
      <c r="CC13">
        <v>132.40302743614001</v>
      </c>
      <c r="CD13">
        <v>80.280465102084406</v>
      </c>
      <c r="CE13">
        <v>118.78872035889768</v>
      </c>
      <c r="CF13">
        <v>118.4896389660329</v>
      </c>
      <c r="CG13">
        <v>138.72035889767142</v>
      </c>
      <c r="CH13">
        <v>75.061799981688893</v>
      </c>
      <c r="CI13">
        <v>59.845271156956699</v>
      </c>
      <c r="CJ13">
        <v>119.30753501998961</v>
      </c>
      <c r="CK13">
        <v>63.687551499984743</v>
      </c>
      <c r="CL13">
        <v>119.62797936948759</v>
      </c>
      <c r="CM13">
        <v>62.457655568102055</v>
      </c>
      <c r="CN13">
        <v>118.37977233191931</v>
      </c>
      <c r="CO13">
        <v>98.292489394817949</v>
      </c>
      <c r="CP13">
        <v>62.756736960966826</v>
      </c>
      <c r="CQ13">
        <v>65.08529923398541</v>
      </c>
      <c r="CR13">
        <v>95.878475295266583</v>
      </c>
      <c r="CS13">
        <v>65.323343607898195</v>
      </c>
      <c r="CT13">
        <v>96.089053010650957</v>
      </c>
      <c r="CU13">
        <v>62.80861842707602</v>
      </c>
      <c r="CV13">
        <v>106.648457289346</v>
      </c>
    </row>
    <row r="14" spans="1:100" x14ac:dyDescent="0.25">
      <c r="A14">
        <v>91.566209906308174</v>
      </c>
      <c r="B14">
        <v>55.212561418500322</v>
      </c>
      <c r="C14">
        <v>142.56569109164707</v>
      </c>
      <c r="D14">
        <v>83.866389965514088</v>
      </c>
      <c r="E14">
        <v>85.212256233405554</v>
      </c>
      <c r="F14">
        <v>149.49949644459366</v>
      </c>
      <c r="G14">
        <v>69.38230536820582</v>
      </c>
      <c r="H14">
        <v>68.338572344126717</v>
      </c>
      <c r="I14">
        <v>55.154576250495928</v>
      </c>
      <c r="J14">
        <v>115.06851405377361</v>
      </c>
      <c r="K14">
        <v>109.94750816370129</v>
      </c>
      <c r="L14">
        <v>144.3937498092593</v>
      </c>
      <c r="M14">
        <v>105.05539109469893</v>
      </c>
      <c r="N14">
        <v>117.36960966826379</v>
      </c>
      <c r="O14">
        <v>88.673055207983651</v>
      </c>
      <c r="P14">
        <v>126.52211066011536</v>
      </c>
      <c r="Q14">
        <v>78.159428693502605</v>
      </c>
      <c r="R14">
        <v>116.3289284951323</v>
      </c>
      <c r="S14">
        <v>106.69118320261239</v>
      </c>
      <c r="T14">
        <v>118.6147648548845</v>
      </c>
      <c r="U14">
        <v>90.989410077211829</v>
      </c>
      <c r="V14">
        <v>127.88933988464002</v>
      </c>
      <c r="W14">
        <v>69.733268227179792</v>
      </c>
      <c r="X14">
        <v>92.768639179662472</v>
      </c>
      <c r="Y14">
        <v>109.34324167607654</v>
      </c>
      <c r="Z14">
        <v>58.389538254951631</v>
      </c>
      <c r="AA14">
        <v>97.489852595599231</v>
      </c>
      <c r="AB14">
        <v>123.76018555253762</v>
      </c>
      <c r="AC14">
        <v>57.367168187505726</v>
      </c>
      <c r="AD14">
        <v>139.95330668050173</v>
      </c>
      <c r="AE14">
        <v>130.00427259132664</v>
      </c>
      <c r="AF14">
        <v>132.33588671529282</v>
      </c>
      <c r="AG14">
        <v>100.22431104464859</v>
      </c>
      <c r="AH14">
        <v>144.91561632129887</v>
      </c>
      <c r="AI14">
        <v>96.772667622913303</v>
      </c>
      <c r="AJ14">
        <v>140.38666951506087</v>
      </c>
      <c r="AK14">
        <v>91.019928586687826</v>
      </c>
      <c r="AL14">
        <v>107.5426496169927</v>
      </c>
      <c r="AM14">
        <v>64.18500320444349</v>
      </c>
      <c r="AN14">
        <v>91.193884090701005</v>
      </c>
      <c r="AO14">
        <v>122.64015625476851</v>
      </c>
      <c r="AP14">
        <v>131.07852412488174</v>
      </c>
      <c r="AQ14">
        <v>126.87917722098453</v>
      </c>
      <c r="AR14">
        <v>137.79564806054873</v>
      </c>
      <c r="AS14">
        <v>75.064851832636492</v>
      </c>
      <c r="AT14">
        <v>108.23541978209784</v>
      </c>
      <c r="AU14">
        <v>58.688619647816402</v>
      </c>
      <c r="AV14">
        <v>52.685628833887755</v>
      </c>
      <c r="AW14">
        <v>98.835718863490712</v>
      </c>
      <c r="AX14">
        <v>133.35520493179112</v>
      </c>
      <c r="AY14">
        <v>129.99511703848384</v>
      </c>
      <c r="AZ14">
        <v>84.763634144108408</v>
      </c>
      <c r="BA14">
        <v>127.80388805810723</v>
      </c>
      <c r="BB14">
        <v>81.275368511001915</v>
      </c>
      <c r="BC14">
        <v>109.18149357585376</v>
      </c>
      <c r="BD14">
        <v>102.23853267006439</v>
      </c>
      <c r="BE14">
        <v>117.50694296090579</v>
      </c>
      <c r="BF14">
        <v>64.1026032288583</v>
      </c>
      <c r="BG14">
        <v>69.91637928403577</v>
      </c>
      <c r="BH14">
        <v>97.260963774529245</v>
      </c>
      <c r="BI14">
        <v>86.106448561052275</v>
      </c>
      <c r="BJ14">
        <v>141.25644703512683</v>
      </c>
      <c r="BK14">
        <v>57.773064363536484</v>
      </c>
      <c r="BL14">
        <v>71.240882595294039</v>
      </c>
      <c r="BM14">
        <v>64.963225196081424</v>
      </c>
      <c r="BN14">
        <v>61.850337229529714</v>
      </c>
      <c r="BO14">
        <v>145.7640308847316</v>
      </c>
      <c r="BP14">
        <v>94.083986938077942</v>
      </c>
      <c r="BQ14">
        <v>127.62993255409405</v>
      </c>
      <c r="BR14">
        <v>105.49485763115329</v>
      </c>
      <c r="BS14">
        <v>144.33881649220251</v>
      </c>
      <c r="BT14">
        <v>136.61152989288001</v>
      </c>
      <c r="BU14">
        <v>105.02792443617054</v>
      </c>
      <c r="BV14">
        <v>99.18057802056947</v>
      </c>
      <c r="BW14">
        <v>63.183996093630789</v>
      </c>
      <c r="BX14">
        <v>147.73857844782862</v>
      </c>
      <c r="BY14">
        <v>66.479995117038484</v>
      </c>
      <c r="BZ14">
        <v>136.7427594836268</v>
      </c>
      <c r="CA14">
        <v>65.387432477797788</v>
      </c>
      <c r="CB14">
        <v>54.477065340128789</v>
      </c>
      <c r="CC14">
        <v>132.18329416791283</v>
      </c>
      <c r="CD14">
        <v>103.95672475356304</v>
      </c>
      <c r="CE14">
        <v>104.59761345255899</v>
      </c>
      <c r="CF14">
        <v>112.92916653950621</v>
      </c>
      <c r="CG14">
        <v>132.7051606799524</v>
      </c>
      <c r="CH14">
        <v>62.451551866206856</v>
      </c>
      <c r="CI14">
        <v>85.825678273873109</v>
      </c>
      <c r="CJ14">
        <v>88.36481826227606</v>
      </c>
      <c r="CK14">
        <v>81.260109256263917</v>
      </c>
      <c r="CL14">
        <v>95.512253181554613</v>
      </c>
      <c r="CM14">
        <v>140.51789910580766</v>
      </c>
      <c r="CN14">
        <v>92.561113315225683</v>
      </c>
      <c r="CO14">
        <v>74.222540971098965</v>
      </c>
      <c r="CP14">
        <v>68.93063142796106</v>
      </c>
      <c r="CQ14">
        <v>56.488235114597003</v>
      </c>
      <c r="CR14">
        <v>56.442457350383009</v>
      </c>
      <c r="CS14">
        <v>85.639515366069517</v>
      </c>
      <c r="CT14">
        <v>110.03601184118168</v>
      </c>
      <c r="CU14">
        <v>53.384502700888092</v>
      </c>
      <c r="CV14">
        <v>66.257209997863697</v>
      </c>
    </row>
    <row r="15" spans="1:100" x14ac:dyDescent="0.25">
      <c r="A15">
        <v>88.779869991149639</v>
      </c>
      <c r="B15">
        <v>61.902218695638908</v>
      </c>
      <c r="C15">
        <v>125.26169621875668</v>
      </c>
      <c r="D15">
        <v>134.22193060090945</v>
      </c>
      <c r="E15">
        <v>118.5964537491989</v>
      </c>
      <c r="F15">
        <v>56.659138767662583</v>
      </c>
      <c r="G15">
        <v>144.03363139744255</v>
      </c>
      <c r="H15">
        <v>101.77770317697684</v>
      </c>
      <c r="I15">
        <v>145.27268288216806</v>
      </c>
      <c r="J15">
        <v>85.645619067964731</v>
      </c>
      <c r="K15">
        <v>138.82106997894221</v>
      </c>
      <c r="L15">
        <v>145.80980864894559</v>
      </c>
      <c r="M15">
        <v>107.09707937864314</v>
      </c>
      <c r="N15">
        <v>81.110568559831535</v>
      </c>
      <c r="O15">
        <v>121.52012695699942</v>
      </c>
      <c r="P15">
        <v>54.699850459303569</v>
      </c>
      <c r="Q15">
        <v>116.68599505600147</v>
      </c>
      <c r="R15">
        <v>121.86498611407819</v>
      </c>
      <c r="S15">
        <v>55.740531632435072</v>
      </c>
      <c r="T15">
        <v>87.461470381786555</v>
      </c>
      <c r="U15">
        <v>97.459334086123235</v>
      </c>
      <c r="V15">
        <v>86.31702627643665</v>
      </c>
      <c r="W15">
        <v>110.21301919614245</v>
      </c>
      <c r="X15">
        <v>76.0658589434492</v>
      </c>
      <c r="Y15">
        <v>89.085055085909602</v>
      </c>
      <c r="Z15">
        <v>98.689230018005929</v>
      </c>
      <c r="AA15">
        <v>132.63801995910521</v>
      </c>
      <c r="AB15">
        <v>66.296884060182492</v>
      </c>
      <c r="AC15">
        <v>137.47520371105077</v>
      </c>
      <c r="AD15">
        <v>121.49266029847102</v>
      </c>
      <c r="AE15">
        <v>84.74837488937041</v>
      </c>
      <c r="AF15">
        <v>75.16861476485488</v>
      </c>
      <c r="AG15">
        <v>134.97573778496658</v>
      </c>
      <c r="AH15">
        <v>97.444074831385237</v>
      </c>
      <c r="AI15">
        <v>129.06125064851832</v>
      </c>
      <c r="AJ15">
        <v>93.104342783898431</v>
      </c>
      <c r="AK15">
        <v>126.40614032410657</v>
      </c>
      <c r="AL15">
        <v>93.913083285012362</v>
      </c>
      <c r="AM15">
        <v>108.05536057618946</v>
      </c>
      <c r="AN15">
        <v>108.92818994720298</v>
      </c>
      <c r="AO15">
        <v>146.49647511215551</v>
      </c>
      <c r="AP15">
        <v>53.024384289071321</v>
      </c>
      <c r="AQ15">
        <v>106.33411664174321</v>
      </c>
      <c r="AR15">
        <v>85.865352336191904</v>
      </c>
      <c r="AS15">
        <v>104.44807275612658</v>
      </c>
      <c r="AT15">
        <v>100.56917020172735</v>
      </c>
      <c r="AU15">
        <v>136.43757438886684</v>
      </c>
      <c r="AV15">
        <v>66.635639515366066</v>
      </c>
      <c r="AW15">
        <v>81.138035218359931</v>
      </c>
      <c r="AX15">
        <v>116.79891354106266</v>
      </c>
      <c r="AY15">
        <v>71.292764061403233</v>
      </c>
      <c r="AZ15">
        <v>57.980590227973266</v>
      </c>
      <c r="BA15">
        <v>144.25641651661732</v>
      </c>
      <c r="BB15">
        <v>141.30222479934082</v>
      </c>
      <c r="BC15">
        <v>147.95525986510819</v>
      </c>
      <c r="BD15">
        <v>88.471633045442061</v>
      </c>
      <c r="BE15">
        <v>73.899044770653404</v>
      </c>
      <c r="BF15">
        <v>81.388286996063115</v>
      </c>
      <c r="BG15">
        <v>63.467818231757562</v>
      </c>
      <c r="BH15">
        <v>66.028321176793725</v>
      </c>
      <c r="BI15">
        <v>74.594866786706135</v>
      </c>
      <c r="BJ15">
        <v>62.201300088503679</v>
      </c>
      <c r="BK15">
        <v>123.28409680471206</v>
      </c>
      <c r="BL15">
        <v>126.90054017761773</v>
      </c>
      <c r="BM15">
        <v>129.83642078920866</v>
      </c>
      <c r="BN15">
        <v>106.56605731376081</v>
      </c>
      <c r="BO15">
        <v>89.039277321695607</v>
      </c>
      <c r="BP15">
        <v>145.77929013946959</v>
      </c>
      <c r="BQ15">
        <v>86.680196539201035</v>
      </c>
      <c r="BR15">
        <v>109.8681600390637</v>
      </c>
      <c r="BS15">
        <v>114.86709189123204</v>
      </c>
      <c r="BT15">
        <v>89.423810541093175</v>
      </c>
      <c r="BU15">
        <v>107.39005706961272</v>
      </c>
      <c r="BV15">
        <v>147.67754142887662</v>
      </c>
      <c r="BW15">
        <v>136.9960631122776</v>
      </c>
      <c r="BX15">
        <v>110.33814508499404</v>
      </c>
      <c r="BY15">
        <v>100.92928861354412</v>
      </c>
      <c r="BZ15">
        <v>143.72844630268258</v>
      </c>
      <c r="CA15">
        <v>82.303842280343019</v>
      </c>
      <c r="CB15">
        <v>83.573412274544509</v>
      </c>
      <c r="CC15">
        <v>124.9839777825251</v>
      </c>
      <c r="CD15">
        <v>126.38477736747338</v>
      </c>
      <c r="CE15">
        <v>111.47038178655353</v>
      </c>
      <c r="CF15">
        <v>139.87701040681173</v>
      </c>
      <c r="CG15">
        <v>99.107333597827079</v>
      </c>
      <c r="CH15">
        <v>51.687673574022647</v>
      </c>
      <c r="CI15">
        <v>62.262337107455672</v>
      </c>
      <c r="CJ15">
        <v>98.194830164494761</v>
      </c>
      <c r="CK15">
        <v>119.61882381664479</v>
      </c>
      <c r="CL15">
        <v>121.15695669423505</v>
      </c>
      <c r="CM15">
        <v>108.70540482802819</v>
      </c>
      <c r="CN15">
        <v>50.75685903500473</v>
      </c>
      <c r="CO15">
        <v>116.89657277138585</v>
      </c>
      <c r="CP15">
        <v>72.406689657277141</v>
      </c>
      <c r="CQ15">
        <v>101.66478469191564</v>
      </c>
      <c r="CR15">
        <v>103.82244331186865</v>
      </c>
      <c r="CS15">
        <v>145.68163090914641</v>
      </c>
      <c r="CT15">
        <v>70.777001251258895</v>
      </c>
      <c r="CU15">
        <v>106.49586474196602</v>
      </c>
      <c r="CV15">
        <v>127.17520676290171</v>
      </c>
    </row>
    <row r="16" spans="1:100" x14ac:dyDescent="0.25">
      <c r="A16">
        <v>138.88515884884183</v>
      </c>
      <c r="B16">
        <v>135.76921903134252</v>
      </c>
      <c r="C16">
        <v>54.681539353617971</v>
      </c>
      <c r="D16">
        <v>122.29834894863735</v>
      </c>
      <c r="E16">
        <v>137.13950010681478</v>
      </c>
      <c r="F16">
        <v>117.25669118320261</v>
      </c>
      <c r="G16">
        <v>119.93621631519517</v>
      </c>
      <c r="H16">
        <v>81.983397930845058</v>
      </c>
      <c r="I16">
        <v>138.0550553910947</v>
      </c>
      <c r="J16">
        <v>135.72038941618092</v>
      </c>
      <c r="K16">
        <v>117.53135776848659</v>
      </c>
      <c r="L16">
        <v>80.426953947569203</v>
      </c>
      <c r="M16">
        <v>118.4438612018189</v>
      </c>
      <c r="N16">
        <v>119.14578691976683</v>
      </c>
      <c r="O16">
        <v>138.17407757805108</v>
      </c>
      <c r="P16">
        <v>71.555223242896815</v>
      </c>
      <c r="Q16">
        <v>88.447218237861264</v>
      </c>
      <c r="R16">
        <v>71.362956633198039</v>
      </c>
      <c r="S16">
        <v>117.69310586870937</v>
      </c>
      <c r="T16">
        <v>55.917538987395858</v>
      </c>
      <c r="U16">
        <v>72.232734153263948</v>
      </c>
      <c r="V16">
        <v>92.362743003631707</v>
      </c>
      <c r="W16">
        <v>88.590655232398461</v>
      </c>
      <c r="X16">
        <v>88.618121890926858</v>
      </c>
      <c r="Y16">
        <v>96.751304666280106</v>
      </c>
      <c r="Z16">
        <v>74.597918637653734</v>
      </c>
      <c r="AA16">
        <v>103.61796929837946</v>
      </c>
      <c r="AB16">
        <v>71.005890072328867</v>
      </c>
      <c r="AC16">
        <v>129.07956175420392</v>
      </c>
      <c r="AD16">
        <v>53.39976195562609</v>
      </c>
      <c r="AE16">
        <v>97.083956419568466</v>
      </c>
      <c r="AF16">
        <v>129.32065797906432</v>
      </c>
      <c r="AG16">
        <v>53.061006500442517</v>
      </c>
      <c r="AH16">
        <v>139.59318826868497</v>
      </c>
      <c r="AI16">
        <v>99.452192754905852</v>
      </c>
      <c r="AJ16">
        <v>133.33689382610552</v>
      </c>
      <c r="AK16">
        <v>125.80797753837703</v>
      </c>
      <c r="AL16">
        <v>112.47444074831385</v>
      </c>
      <c r="AM16">
        <v>70.911282692953279</v>
      </c>
      <c r="AN16">
        <v>58.209479049043246</v>
      </c>
      <c r="AO16">
        <v>104.71053193762017</v>
      </c>
      <c r="AP16">
        <v>101.28940702536087</v>
      </c>
      <c r="AQ16">
        <v>69.489120151371807</v>
      </c>
      <c r="AR16">
        <v>142.60231330301826</v>
      </c>
      <c r="AS16">
        <v>85.590685750907923</v>
      </c>
      <c r="AT16">
        <v>133.27280495620593</v>
      </c>
      <c r="AU16">
        <v>119.38993499557482</v>
      </c>
      <c r="AV16">
        <v>146.17297891170995</v>
      </c>
      <c r="AW16">
        <v>142.60536515396586</v>
      </c>
      <c r="AX16">
        <v>76.441236610003969</v>
      </c>
      <c r="AY16">
        <v>148.98068178350169</v>
      </c>
      <c r="AZ16">
        <v>80.045472579119235</v>
      </c>
      <c r="BA16">
        <v>103.41349528489029</v>
      </c>
      <c r="BB16">
        <v>115.59343241676076</v>
      </c>
      <c r="BC16">
        <v>86.280404065065454</v>
      </c>
      <c r="BD16">
        <v>140.36530655842768</v>
      </c>
      <c r="BE16">
        <v>66.144291512802511</v>
      </c>
      <c r="BF16">
        <v>115.30045472579118</v>
      </c>
      <c r="BG16">
        <v>66.608172856837669</v>
      </c>
      <c r="BH16">
        <v>131.54850917081211</v>
      </c>
      <c r="BI16">
        <v>84.574419385357217</v>
      </c>
      <c r="BJ16">
        <v>118.6239204077273</v>
      </c>
      <c r="BK16">
        <v>77.091280861842705</v>
      </c>
      <c r="BL16">
        <v>149.86877040925322</v>
      </c>
      <c r="BM16">
        <v>146.91457869197669</v>
      </c>
      <c r="BN16">
        <v>79.91729483932005</v>
      </c>
      <c r="BO16">
        <v>147.69280068361462</v>
      </c>
      <c r="BP16">
        <v>76.392406994842375</v>
      </c>
      <c r="BQ16">
        <v>147.09768974883269</v>
      </c>
      <c r="BR16">
        <v>55.905331583605459</v>
      </c>
      <c r="BS16">
        <v>142.65419476912746</v>
      </c>
      <c r="BT16">
        <v>65.109714041566207</v>
      </c>
      <c r="BU16">
        <v>132.98287911618397</v>
      </c>
      <c r="BV16">
        <v>123.57097079378643</v>
      </c>
      <c r="BW16">
        <v>119.36552018799402</v>
      </c>
      <c r="BX16">
        <v>128.86898403881955</v>
      </c>
      <c r="BY16">
        <v>61.001922666096988</v>
      </c>
      <c r="BZ16">
        <v>78.690450758384969</v>
      </c>
      <c r="CA16">
        <v>145.21469771416366</v>
      </c>
      <c r="CB16">
        <v>51.29398480178228</v>
      </c>
      <c r="CC16">
        <v>72.894985808893097</v>
      </c>
      <c r="CD16">
        <v>68.195135349589521</v>
      </c>
      <c r="CE16">
        <v>113.07870723593859</v>
      </c>
      <c r="CF16">
        <v>102.83669545579394</v>
      </c>
      <c r="CG16">
        <v>60.101626636555068</v>
      </c>
      <c r="CH16">
        <v>59.393597216711939</v>
      </c>
      <c r="CI16">
        <v>146.06616412854396</v>
      </c>
      <c r="CJ16">
        <v>89.008758812219611</v>
      </c>
      <c r="CK16">
        <v>131.52409436323131</v>
      </c>
      <c r="CL16">
        <v>99.275185399945059</v>
      </c>
      <c r="CM16">
        <v>132.16498306222724</v>
      </c>
      <c r="CN16">
        <v>109.00143436994537</v>
      </c>
      <c r="CO16">
        <v>50.183111056855985</v>
      </c>
      <c r="CP16">
        <v>66.96523941770684</v>
      </c>
      <c r="CQ16">
        <v>79.358806115909289</v>
      </c>
      <c r="CR16">
        <v>52.752769554734947</v>
      </c>
      <c r="CS16">
        <v>54.501480147709586</v>
      </c>
      <c r="CT16">
        <v>72.461622974333935</v>
      </c>
      <c r="CU16">
        <v>131.92388683736687</v>
      </c>
      <c r="CV16">
        <v>114.65956602679526</v>
      </c>
    </row>
    <row r="17" spans="1:100" x14ac:dyDescent="0.25">
      <c r="A17">
        <v>95.124668111209445</v>
      </c>
      <c r="B17">
        <v>59.69267860957671</v>
      </c>
      <c r="C17">
        <v>110.52125614185003</v>
      </c>
      <c r="D17">
        <v>55.230872524185919</v>
      </c>
      <c r="E17">
        <v>87.104403820917383</v>
      </c>
      <c r="F17">
        <v>70.767845698416096</v>
      </c>
      <c r="G17">
        <v>100.0350962858974</v>
      </c>
      <c r="H17">
        <v>67.108676412244023</v>
      </c>
      <c r="I17">
        <v>64.304025391399875</v>
      </c>
      <c r="J17">
        <v>138.34803308206426</v>
      </c>
      <c r="K17">
        <v>86.680196539201035</v>
      </c>
      <c r="L17">
        <v>78.293710135197003</v>
      </c>
      <c r="M17">
        <v>99.610889004181033</v>
      </c>
      <c r="N17">
        <v>79.172643208105711</v>
      </c>
      <c r="O17">
        <v>64.023255104220709</v>
      </c>
      <c r="P17">
        <v>126.69301431318094</v>
      </c>
      <c r="Q17">
        <v>73.490096743675039</v>
      </c>
      <c r="R17">
        <v>119.25870540482802</v>
      </c>
      <c r="S17">
        <v>101.73192541276283</v>
      </c>
      <c r="T17">
        <v>110.18860438856166</v>
      </c>
      <c r="U17">
        <v>121.63304544206061</v>
      </c>
      <c r="V17">
        <v>113.52732932523577</v>
      </c>
      <c r="W17">
        <v>99.143955809198275</v>
      </c>
      <c r="X17">
        <v>88.422803430280467</v>
      </c>
      <c r="Y17">
        <v>142.10791344950712</v>
      </c>
      <c r="Z17">
        <v>86.744285409100627</v>
      </c>
      <c r="AA17">
        <v>74.985503707998902</v>
      </c>
      <c r="AB17">
        <v>76.169621875667588</v>
      </c>
      <c r="AC17">
        <v>127.77642139957884</v>
      </c>
      <c r="AD17">
        <v>98.857081820123909</v>
      </c>
      <c r="AE17">
        <v>83.841975157933291</v>
      </c>
      <c r="AF17">
        <v>56.408886989959413</v>
      </c>
      <c r="AG17">
        <v>139.48332163457138</v>
      </c>
      <c r="AH17">
        <v>87.879573961607719</v>
      </c>
      <c r="AI17">
        <v>99.989318521683401</v>
      </c>
      <c r="AJ17">
        <v>91.309854426709805</v>
      </c>
      <c r="AK17">
        <v>85.715811639759522</v>
      </c>
      <c r="AL17">
        <v>93.44615009002959</v>
      </c>
      <c r="AM17">
        <v>59.277626880703146</v>
      </c>
      <c r="AN17">
        <v>59.128086184270757</v>
      </c>
      <c r="AO17">
        <v>124.32172612689595</v>
      </c>
      <c r="AP17">
        <v>114.1376995147557</v>
      </c>
      <c r="AQ17">
        <v>99.598681600390634</v>
      </c>
      <c r="AR17">
        <v>95.25284585100863</v>
      </c>
      <c r="AS17">
        <v>51.919614246040226</v>
      </c>
      <c r="AT17">
        <v>101.73497726371043</v>
      </c>
      <c r="AU17">
        <v>90.644550920133057</v>
      </c>
      <c r="AV17">
        <v>65.45152134769738</v>
      </c>
      <c r="AW17">
        <v>96.650593585009318</v>
      </c>
      <c r="AX17">
        <v>145.52293465987123</v>
      </c>
      <c r="AY17">
        <v>129.72960600604267</v>
      </c>
      <c r="AZ17">
        <v>104.79598376415296</v>
      </c>
      <c r="BA17">
        <v>138.43653675954465</v>
      </c>
      <c r="BB17">
        <v>51.950132755516222</v>
      </c>
      <c r="BC17">
        <v>145.20859401226846</v>
      </c>
      <c r="BD17">
        <v>82.728049562059397</v>
      </c>
      <c r="BE17">
        <v>112.19977416302987</v>
      </c>
      <c r="BF17">
        <v>65.98559526352733</v>
      </c>
      <c r="BG17">
        <v>123.10403759880367</v>
      </c>
      <c r="BH17">
        <v>111.10721152378918</v>
      </c>
      <c r="BI17">
        <v>74.655903805658127</v>
      </c>
      <c r="BJ17">
        <v>134.46913052766502</v>
      </c>
      <c r="BK17">
        <v>54.177983947264018</v>
      </c>
      <c r="BL17">
        <v>96.012756736960966</v>
      </c>
      <c r="BM17">
        <v>122.45704519791254</v>
      </c>
      <c r="BN17">
        <v>72.794274727622309</v>
      </c>
      <c r="BO17">
        <v>126.27491073335977</v>
      </c>
      <c r="BP17">
        <v>121.828363902707</v>
      </c>
      <c r="BQ17">
        <v>108.73897518845179</v>
      </c>
      <c r="BR17">
        <v>52.621539963988155</v>
      </c>
      <c r="BS17">
        <v>81.101413006988736</v>
      </c>
      <c r="BT17">
        <v>143.34391308328503</v>
      </c>
      <c r="BU17">
        <v>79.355754264961689</v>
      </c>
      <c r="BV17">
        <v>55.789361247596666</v>
      </c>
      <c r="BW17">
        <v>64.99984740745262</v>
      </c>
      <c r="BX17">
        <v>96.006653035065767</v>
      </c>
      <c r="BY17">
        <v>54.562517166661578</v>
      </c>
      <c r="BZ17">
        <v>91.706595049897771</v>
      </c>
      <c r="CA17">
        <v>89.243751335184783</v>
      </c>
      <c r="CB17">
        <v>77.49717703787347</v>
      </c>
      <c r="CC17">
        <v>96.848963896603294</v>
      </c>
      <c r="CD17">
        <v>56.350901821955013</v>
      </c>
      <c r="CE17">
        <v>65.549180578020568</v>
      </c>
      <c r="CF17">
        <v>103.68205816827906</v>
      </c>
      <c r="CG17">
        <v>55.526902066103091</v>
      </c>
      <c r="CH17">
        <v>60.995818964201789</v>
      </c>
      <c r="CI17">
        <v>132.41523483993041</v>
      </c>
      <c r="CJ17">
        <v>92.13080233161412</v>
      </c>
      <c r="CK17">
        <v>128.72554704428237</v>
      </c>
      <c r="CL17">
        <v>108.78475295266578</v>
      </c>
      <c r="CM17">
        <v>137.88720358897672</v>
      </c>
      <c r="CN17">
        <v>76.282540360728788</v>
      </c>
      <c r="CO17">
        <v>133.35215308084352</v>
      </c>
      <c r="CP17">
        <v>147.27469710379347</v>
      </c>
      <c r="CQ17">
        <v>94.410534989471103</v>
      </c>
      <c r="CR17">
        <v>103.41959898678549</v>
      </c>
      <c r="CS17">
        <v>123.72051149021883</v>
      </c>
      <c r="CT17">
        <v>75.095370342112489</v>
      </c>
      <c r="CU17">
        <v>71.378215887936037</v>
      </c>
      <c r="CV17">
        <v>119.5242164372692</v>
      </c>
    </row>
    <row r="18" spans="1:100" x14ac:dyDescent="0.25">
      <c r="A18">
        <v>93.546861171300392</v>
      </c>
      <c r="B18">
        <v>149.48423718985566</v>
      </c>
      <c r="C18">
        <v>79.83489486373486</v>
      </c>
      <c r="D18">
        <v>149.71617786187323</v>
      </c>
      <c r="E18">
        <v>141.00314340647603</v>
      </c>
      <c r="F18">
        <v>63.162633136997592</v>
      </c>
      <c r="G18">
        <v>62.259285256508072</v>
      </c>
      <c r="H18">
        <v>57.220679342020937</v>
      </c>
      <c r="I18">
        <v>78.543961912900173</v>
      </c>
      <c r="J18">
        <v>97.077852717673267</v>
      </c>
      <c r="K18">
        <v>140.59724723044525</v>
      </c>
      <c r="L18">
        <v>122.80190435499129</v>
      </c>
      <c r="M18">
        <v>57.593005157628099</v>
      </c>
      <c r="N18">
        <v>99.967955565050204</v>
      </c>
      <c r="O18">
        <v>109.68199713126012</v>
      </c>
      <c r="P18">
        <v>88.743247779778443</v>
      </c>
      <c r="Q18">
        <v>120.84261604663227</v>
      </c>
      <c r="R18">
        <v>84.99862666707358</v>
      </c>
      <c r="S18">
        <v>56.228827784051028</v>
      </c>
      <c r="T18">
        <v>66.241950743125699</v>
      </c>
      <c r="U18">
        <v>70.694601275673705</v>
      </c>
      <c r="V18">
        <v>87.006744590594195</v>
      </c>
      <c r="W18">
        <v>99.613940855128632</v>
      </c>
      <c r="X18">
        <v>75.547044282357248</v>
      </c>
      <c r="Y18">
        <v>61.310159611804558</v>
      </c>
      <c r="Z18">
        <v>148.83419293801691</v>
      </c>
      <c r="AA18">
        <v>145.35508285775325</v>
      </c>
      <c r="AB18">
        <v>148.01324503311258</v>
      </c>
      <c r="AC18">
        <v>104.92110965300455</v>
      </c>
      <c r="AD18">
        <v>64.883877071443834</v>
      </c>
      <c r="AE18">
        <v>66.898098696859648</v>
      </c>
      <c r="AF18">
        <v>143.20657979064305</v>
      </c>
      <c r="AG18">
        <v>133.01950132755516</v>
      </c>
      <c r="AH18">
        <v>60.068056276131472</v>
      </c>
      <c r="AI18">
        <v>81.388286996063115</v>
      </c>
      <c r="AJ18">
        <v>84.177678762169251</v>
      </c>
      <c r="AK18">
        <v>103.06253242591632</v>
      </c>
      <c r="AL18">
        <v>132.17413861507004</v>
      </c>
      <c r="AM18">
        <v>134.95742667928099</v>
      </c>
      <c r="AN18">
        <v>64.01715140232551</v>
      </c>
      <c r="AO18">
        <v>91.312906277657405</v>
      </c>
      <c r="AP18">
        <v>135.8699301126133</v>
      </c>
      <c r="AQ18">
        <v>63.251136814477981</v>
      </c>
      <c r="AR18">
        <v>126.81508835108494</v>
      </c>
      <c r="AS18">
        <v>62.42103335673086</v>
      </c>
      <c r="AT18">
        <v>136.43452253791924</v>
      </c>
      <c r="AU18">
        <v>142.75795770134584</v>
      </c>
      <c r="AV18">
        <v>76.172673726615187</v>
      </c>
      <c r="AW18">
        <v>56.402783288064214</v>
      </c>
      <c r="AX18">
        <v>111.32084109012115</v>
      </c>
      <c r="AY18">
        <v>149.42320017090367</v>
      </c>
      <c r="AZ18">
        <v>130.83742790002137</v>
      </c>
      <c r="BA18">
        <v>140.98178044984283</v>
      </c>
      <c r="BB18">
        <v>94.206060975981927</v>
      </c>
      <c r="BC18">
        <v>93.079927976317634</v>
      </c>
      <c r="BD18">
        <v>142.2605059968871</v>
      </c>
      <c r="BE18">
        <v>143.01736503189184</v>
      </c>
      <c r="BF18">
        <v>88.779869991149639</v>
      </c>
      <c r="BG18">
        <v>78.611102633747365</v>
      </c>
      <c r="BH18">
        <v>64.01409955137791</v>
      </c>
      <c r="BI18">
        <v>84.26923429059724</v>
      </c>
      <c r="BJ18">
        <v>120.6320383312479</v>
      </c>
      <c r="BK18">
        <v>90.635395367290258</v>
      </c>
      <c r="BL18">
        <v>81.96508682515946</v>
      </c>
      <c r="BM18">
        <v>138.08862575151829</v>
      </c>
      <c r="BN18">
        <v>126.99819940794092</v>
      </c>
      <c r="BO18">
        <v>95.612964262825415</v>
      </c>
      <c r="BP18">
        <v>112.19367046113467</v>
      </c>
      <c r="BQ18">
        <v>59.768974883266701</v>
      </c>
      <c r="BR18">
        <v>81.287575914792313</v>
      </c>
      <c r="BS18">
        <v>105.39414654988251</v>
      </c>
      <c r="BT18">
        <v>72.910245063631095</v>
      </c>
      <c r="BU18">
        <v>83.408612323374129</v>
      </c>
      <c r="BV18">
        <v>65.066988128299812</v>
      </c>
      <c r="BW18">
        <v>73.758659627063821</v>
      </c>
      <c r="BX18">
        <v>57.315286721396525</v>
      </c>
      <c r="BY18">
        <v>115.78875087740714</v>
      </c>
      <c r="BZ18">
        <v>148.84334849085971</v>
      </c>
      <c r="CA18">
        <v>66.60206915494247</v>
      </c>
      <c r="CB18">
        <v>85.551011688589128</v>
      </c>
      <c r="CC18">
        <v>93.006683553575243</v>
      </c>
      <c r="CD18">
        <v>84.727011932737213</v>
      </c>
      <c r="CE18">
        <v>96.363719595934924</v>
      </c>
      <c r="CF18">
        <v>63.907284768211923</v>
      </c>
      <c r="CG18">
        <v>115.38590655232397</v>
      </c>
      <c r="CH18">
        <v>64.191106906338689</v>
      </c>
      <c r="CI18">
        <v>61.340678121280554</v>
      </c>
      <c r="CJ18">
        <v>129.36643574327832</v>
      </c>
      <c r="CK18">
        <v>126.33899960325937</v>
      </c>
      <c r="CL18">
        <v>143.94512771996216</v>
      </c>
      <c r="CM18">
        <v>80.53071687978759</v>
      </c>
      <c r="CN18">
        <v>107.5975829340495</v>
      </c>
      <c r="CO18">
        <v>50.827051606799522</v>
      </c>
      <c r="CP18">
        <v>93.104342783898431</v>
      </c>
      <c r="CQ18">
        <v>64.578691976683857</v>
      </c>
      <c r="CR18">
        <v>62.616351817377236</v>
      </c>
      <c r="CS18">
        <v>58.981597338785974</v>
      </c>
      <c r="CT18">
        <v>64.807580797753843</v>
      </c>
      <c r="CU18">
        <v>113.50291451765497</v>
      </c>
      <c r="CV18">
        <v>66.113773003326514</v>
      </c>
    </row>
    <row r="19" spans="1:100" x14ac:dyDescent="0.25">
      <c r="A19">
        <v>98.567155980101944</v>
      </c>
      <c r="B19">
        <v>114.38489944151128</v>
      </c>
      <c r="C19">
        <v>83.625293740653703</v>
      </c>
      <c r="D19">
        <v>127.72148808252204</v>
      </c>
      <c r="E19">
        <v>84.247871333964042</v>
      </c>
      <c r="F19">
        <v>65.381328775902588</v>
      </c>
      <c r="G19">
        <v>68.424024170659507</v>
      </c>
      <c r="H19">
        <v>74.207281716360967</v>
      </c>
      <c r="I19">
        <v>99.360637226477863</v>
      </c>
      <c r="J19">
        <v>84.626300851466411</v>
      </c>
      <c r="K19">
        <v>131.97271645252846</v>
      </c>
      <c r="L19">
        <v>74.619281594286932</v>
      </c>
      <c r="M19">
        <v>60.336619159520254</v>
      </c>
      <c r="N19">
        <v>109.01364177373577</v>
      </c>
      <c r="O19">
        <v>55.029450361644336</v>
      </c>
      <c r="P19">
        <v>62.286751915036469</v>
      </c>
      <c r="Q19">
        <v>90.275276955473487</v>
      </c>
      <c r="R19">
        <v>149.95422223578601</v>
      </c>
      <c r="S19">
        <v>111.23233741264076</v>
      </c>
      <c r="T19">
        <v>142.74575029755545</v>
      </c>
      <c r="U19">
        <v>143.32865382854703</v>
      </c>
      <c r="V19">
        <v>82.740256965849795</v>
      </c>
      <c r="W19">
        <v>111.46122623371073</v>
      </c>
      <c r="X19">
        <v>123.03384502700888</v>
      </c>
      <c r="Y19">
        <v>129.26267281105993</v>
      </c>
      <c r="Z19">
        <v>135.33890804773094</v>
      </c>
      <c r="AA19">
        <v>50.006103701895199</v>
      </c>
      <c r="AB19">
        <v>135.75395977660452</v>
      </c>
      <c r="AC19">
        <v>53.863643299661241</v>
      </c>
      <c r="AD19">
        <v>129.68993194372388</v>
      </c>
      <c r="AE19">
        <v>93.122653889584029</v>
      </c>
      <c r="AF19">
        <v>135.9248634296701</v>
      </c>
      <c r="AG19">
        <v>140.78341013824883</v>
      </c>
      <c r="AH19">
        <v>78.708761864070567</v>
      </c>
      <c r="AI19">
        <v>100.54170354319895</v>
      </c>
      <c r="AJ19">
        <v>98.875392925809507</v>
      </c>
      <c r="AK19">
        <v>50.415051728873564</v>
      </c>
      <c r="AL19">
        <v>92.057557908871729</v>
      </c>
      <c r="AM19">
        <v>120.67476424451429</v>
      </c>
      <c r="AN19">
        <v>97.190771202734453</v>
      </c>
      <c r="AO19">
        <v>61.529892880031738</v>
      </c>
      <c r="AP19">
        <v>93.827631458479573</v>
      </c>
      <c r="AQ19">
        <v>50.042725913266395</v>
      </c>
      <c r="AR19">
        <v>84.91927854243599</v>
      </c>
      <c r="AS19">
        <v>131.19144260994292</v>
      </c>
      <c r="AT19">
        <v>105.27207251197851</v>
      </c>
      <c r="AU19">
        <v>97.599719229712832</v>
      </c>
      <c r="AV19">
        <v>67.096469008453624</v>
      </c>
      <c r="AW19">
        <v>98.615985595263538</v>
      </c>
      <c r="AX19">
        <v>95.695364238410605</v>
      </c>
      <c r="AY19">
        <v>70.557267983031707</v>
      </c>
      <c r="AZ19">
        <v>145.34592730491045</v>
      </c>
      <c r="BA19">
        <v>81.781975768303482</v>
      </c>
      <c r="BB19">
        <v>64.642780846583449</v>
      </c>
      <c r="BC19">
        <v>65.842158268990147</v>
      </c>
      <c r="BD19">
        <v>83.93047883541368</v>
      </c>
      <c r="BE19">
        <v>101.47556993316446</v>
      </c>
      <c r="BF19">
        <v>72.821741386150705</v>
      </c>
      <c r="BG19">
        <v>118.6269722586749</v>
      </c>
      <c r="BH19">
        <v>56.326487014374216</v>
      </c>
      <c r="BI19">
        <v>103.96282845545824</v>
      </c>
      <c r="BJ19">
        <v>70.587786492507703</v>
      </c>
      <c r="BK19">
        <v>116.86300241096225</v>
      </c>
      <c r="BL19">
        <v>65.317239906002996</v>
      </c>
      <c r="BM19">
        <v>130.93508713034456</v>
      </c>
      <c r="BN19">
        <v>132.7265236365856</v>
      </c>
      <c r="BO19">
        <v>86.658833582567837</v>
      </c>
      <c r="BP19">
        <v>131.26163518173772</v>
      </c>
      <c r="BQ19">
        <v>75.278481398968466</v>
      </c>
      <c r="BR19">
        <v>68.695638904995874</v>
      </c>
      <c r="BS19">
        <v>85.212256233405554</v>
      </c>
      <c r="BT19">
        <v>75.778984954374835</v>
      </c>
      <c r="BU19">
        <v>142.47413556321908</v>
      </c>
      <c r="BV19">
        <v>100.99032563249611</v>
      </c>
      <c r="BW19">
        <v>78.302865688039802</v>
      </c>
      <c r="BX19">
        <v>51.770073549607837</v>
      </c>
      <c r="BY19">
        <v>73.099459822382272</v>
      </c>
      <c r="BZ19">
        <v>60.052797021393474</v>
      </c>
      <c r="CA19">
        <v>68.005920590838343</v>
      </c>
      <c r="CB19">
        <v>122.80495620593889</v>
      </c>
      <c r="CC19">
        <v>117.13156529435102</v>
      </c>
      <c r="CD19">
        <v>123.955504013184</v>
      </c>
      <c r="CE19">
        <v>86.188848536637465</v>
      </c>
      <c r="CF19">
        <v>145.06515701773125</v>
      </c>
      <c r="CG19">
        <v>100.58748130741296</v>
      </c>
      <c r="CH19">
        <v>80.878627887813963</v>
      </c>
      <c r="CI19">
        <v>119.49674977874081</v>
      </c>
      <c r="CJ19">
        <v>54.965361491744744</v>
      </c>
      <c r="CK19">
        <v>75.214392529068874</v>
      </c>
      <c r="CL19">
        <v>142.64503921628466</v>
      </c>
      <c r="CM19">
        <v>81.366924039429918</v>
      </c>
      <c r="CN19">
        <v>115.55070650349437</v>
      </c>
      <c r="CO19">
        <v>91.776787621692563</v>
      </c>
      <c r="CP19">
        <v>87.266151921140164</v>
      </c>
      <c r="CQ19">
        <v>96.778771324808503</v>
      </c>
      <c r="CR19">
        <v>124.79781487472151</v>
      </c>
      <c r="CS19">
        <v>87.632374034852148</v>
      </c>
      <c r="CT19">
        <v>58.79238258003479</v>
      </c>
      <c r="CU19">
        <v>115.27909176915799</v>
      </c>
      <c r="CV19">
        <v>138.98586993011261</v>
      </c>
    </row>
    <row r="20" spans="1:100" x14ac:dyDescent="0.25">
      <c r="A20">
        <v>144.54023865474409</v>
      </c>
      <c r="B20">
        <v>82.78603473006379</v>
      </c>
      <c r="C20">
        <v>148.62361522263251</v>
      </c>
      <c r="D20">
        <v>54.62965788750877</v>
      </c>
      <c r="E20">
        <v>140.27985473189489</v>
      </c>
      <c r="F20">
        <v>79.691457869197677</v>
      </c>
      <c r="G20">
        <v>100.26703695791498</v>
      </c>
      <c r="H20">
        <v>88.438062685018465</v>
      </c>
      <c r="I20">
        <v>125.16403698843348</v>
      </c>
      <c r="J20">
        <v>108.49787896359142</v>
      </c>
      <c r="K20">
        <v>136.30024109622485</v>
      </c>
      <c r="L20">
        <v>94.4318979461043</v>
      </c>
      <c r="M20">
        <v>120.5771050141911</v>
      </c>
      <c r="N20">
        <v>115.08682515945921</v>
      </c>
      <c r="O20">
        <v>139.05606250190741</v>
      </c>
      <c r="P20">
        <v>115.69109164708395</v>
      </c>
      <c r="Q20">
        <v>77.027191991943113</v>
      </c>
      <c r="R20">
        <v>58.694723349711602</v>
      </c>
      <c r="S20">
        <v>148.43745231482893</v>
      </c>
      <c r="T20">
        <v>129.62584307382429</v>
      </c>
      <c r="U20">
        <v>120.91586046937468</v>
      </c>
      <c r="V20">
        <v>134.20972319711905</v>
      </c>
      <c r="W20">
        <v>107.5701162755211</v>
      </c>
      <c r="X20">
        <v>73.493148594622639</v>
      </c>
      <c r="Y20">
        <v>90.516373180333872</v>
      </c>
      <c r="Z20">
        <v>126.66249580370494</v>
      </c>
      <c r="AA20">
        <v>111.80913724173712</v>
      </c>
      <c r="AB20">
        <v>59.939878536332287</v>
      </c>
      <c r="AC20">
        <v>101.86010315256203</v>
      </c>
      <c r="AD20">
        <v>76.084170049134798</v>
      </c>
      <c r="AE20">
        <v>126.64418469801934</v>
      </c>
      <c r="AF20">
        <v>85.688344981231126</v>
      </c>
      <c r="AG20">
        <v>135.13443403424176</v>
      </c>
      <c r="AH20">
        <v>80.845057527390367</v>
      </c>
      <c r="AI20">
        <v>90.223395489364293</v>
      </c>
      <c r="AJ20">
        <v>86.542863246559037</v>
      </c>
      <c r="AK20">
        <v>82.184820093386634</v>
      </c>
      <c r="AL20">
        <v>117.58629108554338</v>
      </c>
      <c r="AM20">
        <v>66.043580431531723</v>
      </c>
      <c r="AN20">
        <v>141.79967650379956</v>
      </c>
      <c r="AO20">
        <v>145.82506790368359</v>
      </c>
      <c r="AP20">
        <v>105.86718344676046</v>
      </c>
      <c r="AQ20">
        <v>61.465804010132146</v>
      </c>
      <c r="AR20">
        <v>81.168553727835928</v>
      </c>
      <c r="AS20">
        <v>131.46305734427932</v>
      </c>
      <c r="AT20">
        <v>95.704519791253404</v>
      </c>
      <c r="AU20">
        <v>77.683339945677062</v>
      </c>
      <c r="AV20">
        <v>97.41966002380444</v>
      </c>
      <c r="AW20">
        <v>121.8008972441786</v>
      </c>
      <c r="AX20">
        <v>106.03503524887844</v>
      </c>
      <c r="AY20">
        <v>129.15890987884154</v>
      </c>
      <c r="AZ20">
        <v>102.46742149113436</v>
      </c>
      <c r="BA20">
        <v>118.00134281441694</v>
      </c>
      <c r="BB20">
        <v>114.19263283181249</v>
      </c>
      <c r="BC20">
        <v>99.717703787347034</v>
      </c>
      <c r="BD20">
        <v>63.357951597643975</v>
      </c>
      <c r="BE20">
        <v>134.20361949522385</v>
      </c>
      <c r="BF20">
        <v>119.12137211218604</v>
      </c>
      <c r="BG20">
        <v>73.737296670430624</v>
      </c>
      <c r="BH20">
        <v>126.64418469801934</v>
      </c>
      <c r="BI20">
        <v>133.05612353892636</v>
      </c>
      <c r="BJ20">
        <v>122.29834894863735</v>
      </c>
      <c r="BK20">
        <v>67.554246650593583</v>
      </c>
      <c r="BL20">
        <v>127.53532517471847</v>
      </c>
      <c r="BM20">
        <v>106.19983520004882</v>
      </c>
      <c r="BN20">
        <v>106.84377574999237</v>
      </c>
      <c r="BO20">
        <v>107.63725699636831</v>
      </c>
      <c r="BP20">
        <v>109.14181951353495</v>
      </c>
      <c r="BQ20">
        <v>106.78884243293558</v>
      </c>
      <c r="BR20">
        <v>115.89251380962554</v>
      </c>
      <c r="BS20">
        <v>106.81630909146398</v>
      </c>
      <c r="BT20">
        <v>56.256294442579424</v>
      </c>
      <c r="BU20">
        <v>60.577715384380625</v>
      </c>
      <c r="BV20">
        <v>81.80333872493668</v>
      </c>
      <c r="BW20">
        <v>89.155247657704393</v>
      </c>
      <c r="BX20">
        <v>83.262123477889332</v>
      </c>
      <c r="BY20">
        <v>114.71449934385205</v>
      </c>
      <c r="BZ20">
        <v>142.2910245063631</v>
      </c>
      <c r="CA20">
        <v>54.077272865993223</v>
      </c>
      <c r="CB20">
        <v>104.2497024445326</v>
      </c>
      <c r="CC20">
        <v>139.84649189733574</v>
      </c>
      <c r="CD20">
        <v>96.571245460371713</v>
      </c>
      <c r="CE20">
        <v>120.36347544785913</v>
      </c>
      <c r="CF20">
        <v>63.507492294076357</v>
      </c>
      <c r="CG20">
        <v>51.187170018616293</v>
      </c>
      <c r="CH20">
        <v>104.71968749046297</v>
      </c>
      <c r="CI20">
        <v>140.66743980224004</v>
      </c>
      <c r="CJ20">
        <v>54.495376445814387</v>
      </c>
      <c r="CK20">
        <v>64.148380993072294</v>
      </c>
      <c r="CL20">
        <v>83.262123477889332</v>
      </c>
      <c r="CM20">
        <v>127.16299935911131</v>
      </c>
      <c r="CN20">
        <v>105.37278359324931</v>
      </c>
      <c r="CO20">
        <v>50.146488845484789</v>
      </c>
      <c r="CP20">
        <v>100.22736289559619</v>
      </c>
      <c r="CQ20">
        <v>78.959013641773737</v>
      </c>
      <c r="CR20">
        <v>59.298989837336343</v>
      </c>
      <c r="CS20">
        <v>108.25067903683583</v>
      </c>
      <c r="CT20">
        <v>122.69508957182531</v>
      </c>
      <c r="CU20">
        <v>51.876888332773831</v>
      </c>
      <c r="CV20">
        <v>127.58415478988006</v>
      </c>
    </row>
    <row r="21" spans="1:100" x14ac:dyDescent="0.25">
      <c r="A21">
        <v>106.74611651966919</v>
      </c>
      <c r="B21">
        <v>117.75414288766136</v>
      </c>
      <c r="C21">
        <v>75.125888851588485</v>
      </c>
      <c r="D21">
        <v>92.320017090365312</v>
      </c>
      <c r="E21">
        <v>141.31138035218362</v>
      </c>
      <c r="F21">
        <v>137.12729270302438</v>
      </c>
      <c r="G21">
        <v>137.87804803613392</v>
      </c>
      <c r="H21">
        <v>71.359904782250439</v>
      </c>
      <c r="I21">
        <v>112.66060365611743</v>
      </c>
      <c r="J21">
        <v>66.592913602099671</v>
      </c>
      <c r="K21">
        <v>112.07770012512589</v>
      </c>
      <c r="L21">
        <v>81.464583269753106</v>
      </c>
      <c r="M21">
        <v>122.7286599322489</v>
      </c>
      <c r="N21">
        <v>99.83672597430342</v>
      </c>
      <c r="O21">
        <v>68.295846430860308</v>
      </c>
      <c r="P21">
        <v>106.08691671498764</v>
      </c>
      <c r="Q21">
        <v>85.639515366069517</v>
      </c>
      <c r="R21">
        <v>50.964384899441512</v>
      </c>
      <c r="S21">
        <v>144.72945341349529</v>
      </c>
      <c r="T21">
        <v>139.0835291604358</v>
      </c>
      <c r="U21">
        <v>144.48835718863489</v>
      </c>
      <c r="V21">
        <v>66.730246894741668</v>
      </c>
      <c r="W21">
        <v>123.04605243079928</v>
      </c>
      <c r="X21">
        <v>119.67986083559678</v>
      </c>
      <c r="Y21">
        <v>78.904080324716944</v>
      </c>
      <c r="Z21">
        <v>66.287728507339693</v>
      </c>
      <c r="AA21">
        <v>121.60557878353221</v>
      </c>
      <c r="AB21">
        <v>115.30350657673878</v>
      </c>
      <c r="AC21">
        <v>69.092379528183841</v>
      </c>
      <c r="AD21">
        <v>111.62297433393354</v>
      </c>
      <c r="AE21">
        <v>96.702475051118512</v>
      </c>
      <c r="AF21">
        <v>80.368968779564796</v>
      </c>
      <c r="AG21">
        <v>131.92083498641927</v>
      </c>
      <c r="AH21">
        <v>61.746574297311319</v>
      </c>
      <c r="AI21">
        <v>92.4176763206885</v>
      </c>
      <c r="AJ21">
        <v>69.202246162297428</v>
      </c>
      <c r="AK21">
        <v>94.709616382335895</v>
      </c>
      <c r="AL21">
        <v>113.84777367473373</v>
      </c>
      <c r="AM21">
        <v>129.75707266457107</v>
      </c>
      <c r="AN21">
        <v>131.15176854762413</v>
      </c>
      <c r="AO21">
        <v>122.35023041474655</v>
      </c>
      <c r="AP21">
        <v>84.437086092715234</v>
      </c>
      <c r="AQ21">
        <v>75.638599810785237</v>
      </c>
      <c r="AR21">
        <v>66.071047090060119</v>
      </c>
      <c r="AS21">
        <v>63.354899746696375</v>
      </c>
      <c r="AT21">
        <v>133.67870113223671</v>
      </c>
      <c r="AU21">
        <v>82.428968169194619</v>
      </c>
      <c r="AV21">
        <v>68.292794579912709</v>
      </c>
      <c r="AW21">
        <v>130.49562059389018</v>
      </c>
      <c r="AX21">
        <v>86.008789330729087</v>
      </c>
      <c r="AY21">
        <v>118.27906125064852</v>
      </c>
      <c r="AZ21">
        <v>120.05523850215155</v>
      </c>
      <c r="BA21">
        <v>61.243018890957366</v>
      </c>
      <c r="BB21">
        <v>143.77117221594898</v>
      </c>
      <c r="BC21">
        <v>90.952787865840634</v>
      </c>
      <c r="BD21">
        <v>76.013977477340006</v>
      </c>
      <c r="BE21">
        <v>58.328501235999639</v>
      </c>
      <c r="BF21">
        <v>96.88253425702689</v>
      </c>
      <c r="BG21">
        <v>80.750450148014764</v>
      </c>
      <c r="BH21">
        <v>112.54463332010864</v>
      </c>
      <c r="BI21">
        <v>71.021149327066865</v>
      </c>
      <c r="BJ21">
        <v>71.845149082918795</v>
      </c>
      <c r="BK21">
        <v>77.079073458052306</v>
      </c>
      <c r="BL21">
        <v>78.84914700766015</v>
      </c>
      <c r="BM21">
        <v>149.41099276711324</v>
      </c>
      <c r="BN21">
        <v>75.290688802758865</v>
      </c>
      <c r="BO21">
        <v>139.39786980803859</v>
      </c>
      <c r="BP21">
        <v>108.51313821832942</v>
      </c>
      <c r="BQ21">
        <v>106.84987945188757</v>
      </c>
      <c r="BR21">
        <v>74.814600054933322</v>
      </c>
      <c r="BS21">
        <v>91.904965361491747</v>
      </c>
      <c r="BT21">
        <v>97.932370983001192</v>
      </c>
      <c r="BU21">
        <v>97.172460097048855</v>
      </c>
      <c r="BV21">
        <v>129.86693929868466</v>
      </c>
      <c r="BW21">
        <v>143.43241676076542</v>
      </c>
      <c r="BX21">
        <v>109.15402691732535</v>
      </c>
      <c r="BY21">
        <v>118.66054261909849</v>
      </c>
      <c r="BZ21">
        <v>142.3276467177343</v>
      </c>
      <c r="CA21">
        <v>148.12921536912137</v>
      </c>
      <c r="CB21">
        <v>50.262459181493575</v>
      </c>
      <c r="CC21">
        <v>85.389263588366333</v>
      </c>
      <c r="CD21">
        <v>104.97604297006134</v>
      </c>
      <c r="CE21">
        <v>72.638630329294713</v>
      </c>
      <c r="CF21">
        <v>136.42841883602404</v>
      </c>
      <c r="CG21">
        <v>56.591998046815391</v>
      </c>
      <c r="CH21">
        <v>75.90411084322642</v>
      </c>
      <c r="CI21">
        <v>85.306863612781143</v>
      </c>
      <c r="CJ21">
        <v>84.733115634632412</v>
      </c>
      <c r="CK21">
        <v>64.651936399426248</v>
      </c>
      <c r="CL21">
        <v>57.058931241798149</v>
      </c>
      <c r="CM21">
        <v>133.09884945219275</v>
      </c>
      <c r="CN21">
        <v>145.94409009063997</v>
      </c>
      <c r="CO21">
        <v>132.33588671529282</v>
      </c>
      <c r="CP21">
        <v>104.97299111911374</v>
      </c>
      <c r="CQ21">
        <v>121.828363902707</v>
      </c>
      <c r="CR21">
        <v>126.27185888241218</v>
      </c>
      <c r="CS21">
        <v>119.93621631519517</v>
      </c>
      <c r="CT21">
        <v>51.892147587511829</v>
      </c>
      <c r="CU21">
        <v>65.359965819269391</v>
      </c>
      <c r="CV21">
        <v>102.35755485702077</v>
      </c>
    </row>
    <row r="22" spans="1:100" x14ac:dyDescent="0.25">
      <c r="A22">
        <v>138.57692190313423</v>
      </c>
      <c r="B22">
        <v>137.17917416913357</v>
      </c>
      <c r="C22">
        <v>81.614123966185488</v>
      </c>
      <c r="D22">
        <v>50.180059205908385</v>
      </c>
      <c r="E22">
        <v>121.01657155064547</v>
      </c>
      <c r="F22">
        <v>82.383190404980624</v>
      </c>
      <c r="G22">
        <v>116.27399517807551</v>
      </c>
      <c r="H22">
        <v>91.813409833063758</v>
      </c>
      <c r="I22">
        <v>89.960936307870725</v>
      </c>
      <c r="J22">
        <v>102.03405865657521</v>
      </c>
      <c r="K22">
        <v>53.839228492080444</v>
      </c>
      <c r="L22">
        <v>61.636707663197726</v>
      </c>
      <c r="M22">
        <v>116.70125431073947</v>
      </c>
      <c r="N22">
        <v>61.804559465315712</v>
      </c>
      <c r="O22">
        <v>108.6504715109714</v>
      </c>
      <c r="P22">
        <v>132.52510147404399</v>
      </c>
      <c r="Q22">
        <v>85.019989623706778</v>
      </c>
      <c r="R22">
        <v>53.161717581713312</v>
      </c>
      <c r="S22">
        <v>127.85271767326883</v>
      </c>
      <c r="T22">
        <v>148.41608935819573</v>
      </c>
      <c r="U22">
        <v>56.894131290627769</v>
      </c>
      <c r="V22">
        <v>58.783227027191991</v>
      </c>
      <c r="W22">
        <v>107.5945310831019</v>
      </c>
      <c r="X22">
        <v>138.30225531785027</v>
      </c>
      <c r="Y22">
        <v>143.05703909421064</v>
      </c>
      <c r="Z22">
        <v>103.36771752067629</v>
      </c>
      <c r="AA22">
        <v>53.137302774132515</v>
      </c>
      <c r="AB22">
        <v>98.362681966612755</v>
      </c>
      <c r="AC22">
        <v>69.061861018707845</v>
      </c>
      <c r="AD22">
        <v>117.88842432935576</v>
      </c>
      <c r="AE22">
        <v>98.548844874416346</v>
      </c>
      <c r="AF22">
        <v>95.408490249336211</v>
      </c>
      <c r="AG22">
        <v>77.518539994506668</v>
      </c>
      <c r="AH22">
        <v>95.484786523026216</v>
      </c>
      <c r="AI22">
        <v>51.571703238013853</v>
      </c>
      <c r="AJ22">
        <v>94.706564531388295</v>
      </c>
      <c r="AK22">
        <v>57.040620136112551</v>
      </c>
      <c r="AL22">
        <v>67.04763939329203</v>
      </c>
      <c r="AM22">
        <v>79.358806115909289</v>
      </c>
      <c r="AN22">
        <v>65.378276924954989</v>
      </c>
      <c r="AO22">
        <v>138.60133671071503</v>
      </c>
      <c r="AP22">
        <v>74.66811120944854</v>
      </c>
      <c r="AQ22">
        <v>100.59968871120336</v>
      </c>
      <c r="AR22">
        <v>66.43726920377209</v>
      </c>
      <c r="AS22">
        <v>149.88402966399121</v>
      </c>
      <c r="AT22">
        <v>71.06692709128086</v>
      </c>
      <c r="AU22">
        <v>99.74822229682303</v>
      </c>
      <c r="AV22">
        <v>66.632587664418466</v>
      </c>
      <c r="AW22">
        <v>68.286690878017509</v>
      </c>
      <c r="AX22">
        <v>123.13455610827967</v>
      </c>
      <c r="AY22">
        <v>92.918179876094854</v>
      </c>
      <c r="AZ22">
        <v>65.353862117374192</v>
      </c>
      <c r="BA22">
        <v>119.34720908230842</v>
      </c>
      <c r="BB22">
        <v>82.490005188146611</v>
      </c>
      <c r="BC22">
        <v>50.67751091036714</v>
      </c>
      <c r="BD22">
        <v>124.36445204016235</v>
      </c>
      <c r="BE22">
        <v>65.173802911465799</v>
      </c>
      <c r="BF22">
        <v>117.268898586993</v>
      </c>
      <c r="BG22">
        <v>107.08182012390515</v>
      </c>
      <c r="BH22">
        <v>140.30732139042328</v>
      </c>
      <c r="BI22">
        <v>59.741508224738304</v>
      </c>
      <c r="BJ22">
        <v>112.81319620349743</v>
      </c>
      <c r="BK22">
        <v>63.367107150486774</v>
      </c>
      <c r="BL22">
        <v>100.71871089815974</v>
      </c>
      <c r="BM22">
        <v>116.67378765221108</v>
      </c>
      <c r="BN22">
        <v>149.60020752586445</v>
      </c>
      <c r="BO22">
        <v>64.078188421277503</v>
      </c>
      <c r="BP22">
        <v>64.01715140232551</v>
      </c>
      <c r="BQ22">
        <v>134.58510086367383</v>
      </c>
      <c r="BR22">
        <v>60.126041444135865</v>
      </c>
      <c r="BS22">
        <v>76.606036561174349</v>
      </c>
      <c r="BT22">
        <v>83.344523453474537</v>
      </c>
      <c r="BU22">
        <v>138.08862575151829</v>
      </c>
      <c r="BV22">
        <v>68.478957487716301</v>
      </c>
      <c r="BW22">
        <v>85.010834070863979</v>
      </c>
      <c r="BX22">
        <v>87.635425885799748</v>
      </c>
      <c r="BY22">
        <v>147.07022309030427</v>
      </c>
      <c r="BZ22">
        <v>144.92172002319407</v>
      </c>
      <c r="CA22">
        <v>138.70204779198582</v>
      </c>
      <c r="CB22">
        <v>98.03308206427198</v>
      </c>
      <c r="CC22">
        <v>139.94720297860653</v>
      </c>
      <c r="CD22">
        <v>78.659932248908973</v>
      </c>
      <c r="CE22">
        <v>146.65517136143069</v>
      </c>
      <c r="CF22">
        <v>107.78374584185309</v>
      </c>
      <c r="CG22">
        <v>126.47633289590136</v>
      </c>
      <c r="CH22">
        <v>121.91991943113499</v>
      </c>
      <c r="CI22">
        <v>57.733390301217689</v>
      </c>
      <c r="CJ22">
        <v>103.73393963438826</v>
      </c>
      <c r="CK22">
        <v>95.774712363048195</v>
      </c>
      <c r="CL22">
        <v>108.38496047853022</v>
      </c>
      <c r="CM22">
        <v>117.79381694998017</v>
      </c>
      <c r="CN22">
        <v>57.562486648152102</v>
      </c>
      <c r="CO22">
        <v>55.130161442915124</v>
      </c>
      <c r="CP22">
        <v>99.232459486678664</v>
      </c>
      <c r="CQ22">
        <v>144.14349803155613</v>
      </c>
      <c r="CR22">
        <v>64.838099307229839</v>
      </c>
      <c r="CS22">
        <v>125.30747398297068</v>
      </c>
      <c r="CT22">
        <v>59.787285988952299</v>
      </c>
      <c r="CU22">
        <v>108.04010132145146</v>
      </c>
      <c r="CV22">
        <v>60.08331553086947</v>
      </c>
    </row>
    <row r="23" spans="1:100" x14ac:dyDescent="0.25">
      <c r="A23">
        <v>128.94528031250954</v>
      </c>
      <c r="B23">
        <v>101.19785149693288</v>
      </c>
      <c r="C23">
        <v>63.165684987945191</v>
      </c>
      <c r="D23">
        <v>147.65312662129583</v>
      </c>
      <c r="E23">
        <v>113.24961088900417</v>
      </c>
      <c r="F23">
        <v>118.6361278115177</v>
      </c>
      <c r="G23">
        <v>67.963194677571948</v>
      </c>
      <c r="H23">
        <v>57.437360759300518</v>
      </c>
      <c r="I23">
        <v>124.82222968230232</v>
      </c>
      <c r="J23">
        <v>120.67781609546189</v>
      </c>
      <c r="K23">
        <v>72.846156193731503</v>
      </c>
      <c r="L23">
        <v>145.91051973021638</v>
      </c>
      <c r="M23">
        <v>141.68065431684317</v>
      </c>
      <c r="N23">
        <v>148.52595599230932</v>
      </c>
      <c r="O23">
        <v>78.47987304300058</v>
      </c>
      <c r="P23">
        <v>88.251899777214874</v>
      </c>
      <c r="Q23">
        <v>56.631672109134186</v>
      </c>
      <c r="R23">
        <v>118.5018463698233</v>
      </c>
      <c r="S23">
        <v>101.56102175969725</v>
      </c>
      <c r="T23">
        <v>87.369914853358551</v>
      </c>
      <c r="U23">
        <v>52.072206793420207</v>
      </c>
      <c r="V23">
        <v>60.254219183935056</v>
      </c>
      <c r="W23">
        <v>72.721030304879918</v>
      </c>
      <c r="X23">
        <v>142.60841700491346</v>
      </c>
      <c r="Y23">
        <v>106.17236854152043</v>
      </c>
      <c r="Z23">
        <v>60.61738944669942</v>
      </c>
      <c r="AA23">
        <v>117.46421704763939</v>
      </c>
      <c r="AB23">
        <v>69.510483108005005</v>
      </c>
      <c r="AC23">
        <v>146.16077150791955</v>
      </c>
      <c r="AD23">
        <v>66.248054445020898</v>
      </c>
      <c r="AE23">
        <v>60.699789422284617</v>
      </c>
      <c r="AF23">
        <v>148.66634113589893</v>
      </c>
      <c r="AG23">
        <v>114.32081057161169</v>
      </c>
      <c r="AH23">
        <v>148.20245979186376</v>
      </c>
      <c r="AI23">
        <v>145.57176427503282</v>
      </c>
      <c r="AJ23">
        <v>131.75908688619649</v>
      </c>
      <c r="AK23">
        <v>62.283700064088869</v>
      </c>
      <c r="AL23">
        <v>81.525620288705099</v>
      </c>
      <c r="AM23">
        <v>107.13370159001434</v>
      </c>
      <c r="AN23">
        <v>82.999664296395764</v>
      </c>
      <c r="AO23">
        <v>139.26664021729181</v>
      </c>
      <c r="AP23">
        <v>143.02957243568224</v>
      </c>
      <c r="AQ23">
        <v>91.563158055360574</v>
      </c>
      <c r="AR23">
        <v>84.01593066194647</v>
      </c>
      <c r="AS23">
        <v>89.887691885128334</v>
      </c>
      <c r="AT23">
        <v>80.338450270088799</v>
      </c>
      <c r="AU23">
        <v>61.499374370555742</v>
      </c>
      <c r="AV23">
        <v>80.347605822931598</v>
      </c>
      <c r="AW23">
        <v>127.19046601763971</v>
      </c>
      <c r="AX23">
        <v>55.37125766777551</v>
      </c>
      <c r="AY23">
        <v>107.85393841364788</v>
      </c>
      <c r="AZ23">
        <v>119.99420148319956</v>
      </c>
      <c r="BA23">
        <v>65.802484206671352</v>
      </c>
      <c r="BB23">
        <v>85.923337504196297</v>
      </c>
      <c r="BC23">
        <v>90.177617725150299</v>
      </c>
      <c r="BD23">
        <v>121.7856379894406</v>
      </c>
      <c r="BE23">
        <v>129.17416913357954</v>
      </c>
      <c r="BF23">
        <v>144.4730979338969</v>
      </c>
      <c r="BG23">
        <v>103.89873958555864</v>
      </c>
      <c r="BH23">
        <v>106.49586474196602</v>
      </c>
      <c r="BI23">
        <v>115.59648426770836</v>
      </c>
      <c r="BJ23">
        <v>109.04416028321177</v>
      </c>
      <c r="BK23">
        <v>102.1408734397412</v>
      </c>
      <c r="BL23">
        <v>145.45579393902403</v>
      </c>
      <c r="BM23">
        <v>68.958098086489457</v>
      </c>
      <c r="BN23">
        <v>124.38886684774315</v>
      </c>
      <c r="BO23">
        <v>71.427045503097631</v>
      </c>
      <c r="BP23">
        <v>66.830957976012456</v>
      </c>
      <c r="BQ23">
        <v>91.502121036408582</v>
      </c>
      <c r="BR23">
        <v>73.471785637989441</v>
      </c>
      <c r="BS23">
        <v>143.75286111026338</v>
      </c>
      <c r="BT23">
        <v>81.940672017578663</v>
      </c>
      <c r="BU23">
        <v>77.472762230292673</v>
      </c>
      <c r="BV23">
        <v>139.04080324716941</v>
      </c>
      <c r="BW23">
        <v>124.45905941953795</v>
      </c>
      <c r="BX23">
        <v>64.044618060853907</v>
      </c>
      <c r="BY23">
        <v>89.161351359599593</v>
      </c>
      <c r="BZ23">
        <v>137.98181096835231</v>
      </c>
      <c r="CA23">
        <v>101.59154026917325</v>
      </c>
      <c r="CB23">
        <v>82.847071749015782</v>
      </c>
      <c r="CC23">
        <v>65.942869350260935</v>
      </c>
      <c r="CD23">
        <v>56.704916531876584</v>
      </c>
      <c r="CE23">
        <v>52.301095614490187</v>
      </c>
      <c r="CF23">
        <v>147.76299325540941</v>
      </c>
      <c r="CG23">
        <v>106.96584978789636</v>
      </c>
      <c r="CH23">
        <v>65.601062044129762</v>
      </c>
      <c r="CI23">
        <v>111.9525742362743</v>
      </c>
      <c r="CJ23">
        <v>63.104647968993191</v>
      </c>
      <c r="CK23">
        <v>118.07458723715934</v>
      </c>
      <c r="CL23">
        <v>140.73763237403483</v>
      </c>
      <c r="CM23">
        <v>121.53843806268502</v>
      </c>
      <c r="CN23">
        <v>148.33063753166294</v>
      </c>
      <c r="CO23">
        <v>63.62956633198035</v>
      </c>
      <c r="CP23">
        <v>70.889919736320081</v>
      </c>
      <c r="CQ23">
        <v>119.06033509323404</v>
      </c>
      <c r="CR23">
        <v>126.39393292031617</v>
      </c>
      <c r="CS23">
        <v>113.85998107852413</v>
      </c>
      <c r="CT23">
        <v>78.083132419812614</v>
      </c>
      <c r="CU23">
        <v>90.455336161381879</v>
      </c>
      <c r="CV23">
        <v>133.46507156590474</v>
      </c>
    </row>
    <row r="24" spans="1:100" x14ac:dyDescent="0.25">
      <c r="A24">
        <v>78.128910184026608</v>
      </c>
      <c r="B24">
        <v>97.669911801507624</v>
      </c>
      <c r="C24">
        <v>96.455275124362927</v>
      </c>
      <c r="D24">
        <v>115.33402508621478</v>
      </c>
      <c r="E24">
        <v>100.65462202826015</v>
      </c>
      <c r="F24">
        <v>105.87328714865566</v>
      </c>
      <c r="G24">
        <v>95.484786523026216</v>
      </c>
      <c r="H24">
        <v>94.398327585680704</v>
      </c>
      <c r="I24">
        <v>93.791009247108377</v>
      </c>
      <c r="J24">
        <v>59.106723227637559</v>
      </c>
      <c r="K24">
        <v>66.949980162968842</v>
      </c>
      <c r="L24">
        <v>99.168370616779072</v>
      </c>
      <c r="M24">
        <v>83.872493667409287</v>
      </c>
      <c r="N24">
        <v>89.942625202185127</v>
      </c>
      <c r="O24">
        <v>128.43867305520797</v>
      </c>
      <c r="P24">
        <v>81.049531540879542</v>
      </c>
      <c r="Q24">
        <v>54.226813562425612</v>
      </c>
      <c r="R24">
        <v>85.740226447340319</v>
      </c>
      <c r="S24">
        <v>55.795464949491866</v>
      </c>
      <c r="T24">
        <v>148.67244483779413</v>
      </c>
      <c r="U24">
        <v>120.44282357249672</v>
      </c>
      <c r="V24">
        <v>125.38987395855587</v>
      </c>
      <c r="W24">
        <v>85.459456160161139</v>
      </c>
      <c r="X24">
        <v>123.44889675588244</v>
      </c>
      <c r="Y24">
        <v>76.114688558610794</v>
      </c>
      <c r="Z24">
        <v>104.506057924131</v>
      </c>
      <c r="AA24">
        <v>51.309244056520278</v>
      </c>
      <c r="AB24">
        <v>91.465498825037386</v>
      </c>
      <c r="AC24">
        <v>149.75280007324443</v>
      </c>
      <c r="AD24">
        <v>127.2637104403821</v>
      </c>
      <c r="AE24">
        <v>121.767326883755</v>
      </c>
      <c r="AF24">
        <v>54.760887478255562</v>
      </c>
      <c r="AG24">
        <v>63.434247871333966</v>
      </c>
      <c r="AH24">
        <v>92.896816919461656</v>
      </c>
      <c r="AI24">
        <v>52.658162175359358</v>
      </c>
      <c r="AJ24">
        <v>135.13138218329416</v>
      </c>
      <c r="AK24">
        <v>133.84960478530229</v>
      </c>
      <c r="AL24">
        <v>55.117954039124726</v>
      </c>
      <c r="AM24">
        <v>121.58726767784661</v>
      </c>
      <c r="AN24">
        <v>133.62071596423232</v>
      </c>
      <c r="AO24">
        <v>106.32496108890041</v>
      </c>
      <c r="AP24">
        <v>82.468642231513414</v>
      </c>
      <c r="AQ24">
        <v>59.314249092074341</v>
      </c>
      <c r="AR24">
        <v>98.814355906857514</v>
      </c>
      <c r="AS24">
        <v>62.524796288949247</v>
      </c>
      <c r="AT24">
        <v>97.773674733726011</v>
      </c>
      <c r="AU24">
        <v>143.88103885006257</v>
      </c>
      <c r="AV24">
        <v>106.99636829737236</v>
      </c>
      <c r="AW24">
        <v>92.384105960264904</v>
      </c>
      <c r="AX24">
        <v>124.85580004272592</v>
      </c>
      <c r="AY24">
        <v>128.27692495498519</v>
      </c>
      <c r="AZ24">
        <v>129.69603564561908</v>
      </c>
      <c r="BA24">
        <v>145.7518234809412</v>
      </c>
      <c r="BB24">
        <v>52.999969481490524</v>
      </c>
      <c r="BC24">
        <v>65.930661946470536</v>
      </c>
      <c r="BD24">
        <v>70.310068056276123</v>
      </c>
      <c r="BE24">
        <v>136.00421155430769</v>
      </c>
      <c r="BF24">
        <v>127.39188818018128</v>
      </c>
      <c r="BG24">
        <v>62.997833185827204</v>
      </c>
      <c r="BH24">
        <v>51.425214392529071</v>
      </c>
      <c r="BI24">
        <v>76.703695791497552</v>
      </c>
      <c r="BJ24">
        <v>50.238044373912778</v>
      </c>
      <c r="BK24">
        <v>68.381298257393112</v>
      </c>
      <c r="BL24">
        <v>87.110507522812583</v>
      </c>
      <c r="BM24">
        <v>93.250831629383214</v>
      </c>
      <c r="BN24">
        <v>92.472609637745293</v>
      </c>
      <c r="BO24">
        <v>77.954954680013429</v>
      </c>
      <c r="BP24">
        <v>113.80809961241494</v>
      </c>
      <c r="BQ24">
        <v>54.119998779259618</v>
      </c>
      <c r="BR24">
        <v>65.323343607898195</v>
      </c>
      <c r="BS24">
        <v>58.075197607348855</v>
      </c>
      <c r="BT24">
        <v>82.312997833185818</v>
      </c>
      <c r="BU24">
        <v>107.34122745445113</v>
      </c>
      <c r="BV24">
        <v>73.374126407666253</v>
      </c>
      <c r="BW24">
        <v>98.945585497604299</v>
      </c>
      <c r="BX24">
        <v>60.156559953611861</v>
      </c>
      <c r="BY24">
        <v>85.941648609881895</v>
      </c>
      <c r="BZ24">
        <v>60.76082644123661</v>
      </c>
      <c r="CA24">
        <v>88.508255256813257</v>
      </c>
      <c r="CB24">
        <v>72.412793359172341</v>
      </c>
      <c r="CC24">
        <v>97.938474684896391</v>
      </c>
      <c r="CD24">
        <v>103.67595446638386</v>
      </c>
      <c r="CE24">
        <v>147.47917111728265</v>
      </c>
      <c r="CF24">
        <v>59.146397289956354</v>
      </c>
      <c r="CG24">
        <v>66.544083986938077</v>
      </c>
      <c r="CH24">
        <v>52.249214148380993</v>
      </c>
      <c r="CI24">
        <v>116.10614337595752</v>
      </c>
      <c r="CJ24">
        <v>77.573473311563461</v>
      </c>
      <c r="CK24">
        <v>136.18121890926847</v>
      </c>
      <c r="CL24">
        <v>75.031281472212896</v>
      </c>
      <c r="CM24">
        <v>133.35825678273872</v>
      </c>
      <c r="CN24">
        <v>127.06839197973571</v>
      </c>
      <c r="CO24">
        <v>109.94750816370129</v>
      </c>
      <c r="CP24">
        <v>109.06247138889736</v>
      </c>
      <c r="CQ24">
        <v>99.064607684560684</v>
      </c>
      <c r="CR24">
        <v>125.15488143559068</v>
      </c>
      <c r="CS24">
        <v>134.14563432721945</v>
      </c>
      <c r="CT24">
        <v>68.805505539109475</v>
      </c>
      <c r="CU24">
        <v>59.753715628528703</v>
      </c>
      <c r="CV24">
        <v>112.59651478621784</v>
      </c>
    </row>
    <row r="25" spans="1:100" x14ac:dyDescent="0.25">
      <c r="A25">
        <v>73.014007995849482</v>
      </c>
      <c r="B25">
        <v>107.40226447340312</v>
      </c>
      <c r="C25">
        <v>70.911282692953279</v>
      </c>
      <c r="D25">
        <v>120.56184575945311</v>
      </c>
      <c r="E25">
        <v>80.518509475997192</v>
      </c>
      <c r="F25">
        <v>135.59221167638174</v>
      </c>
      <c r="G25">
        <v>130.52919095431378</v>
      </c>
      <c r="H25">
        <v>120.29023102511674</v>
      </c>
      <c r="I25">
        <v>112.19977416302987</v>
      </c>
      <c r="J25">
        <v>148.14142277291177</v>
      </c>
      <c r="K25">
        <v>69.525742362743003</v>
      </c>
      <c r="L25">
        <v>75.113681447798086</v>
      </c>
      <c r="M25">
        <v>127.00430310983612</v>
      </c>
      <c r="N25">
        <v>81.730094302194274</v>
      </c>
      <c r="O25">
        <v>87.284463026825762</v>
      </c>
      <c r="P25">
        <v>108.6199530014954</v>
      </c>
      <c r="Q25">
        <v>138.97671437726981</v>
      </c>
      <c r="R25">
        <v>89.783928952909946</v>
      </c>
      <c r="S25">
        <v>86.875514999847411</v>
      </c>
      <c r="T25">
        <v>71.616260261848808</v>
      </c>
      <c r="U25">
        <v>65.662099063081754</v>
      </c>
      <c r="V25">
        <v>59.756767479476302</v>
      </c>
      <c r="W25">
        <v>135.65630054628133</v>
      </c>
      <c r="X25">
        <v>122.81411175878169</v>
      </c>
      <c r="Y25">
        <v>98.573259681997143</v>
      </c>
      <c r="Z25">
        <v>64.230780968657484</v>
      </c>
      <c r="AA25">
        <v>124.52314828943754</v>
      </c>
      <c r="AB25">
        <v>113.58531449324016</v>
      </c>
      <c r="AC25">
        <v>61.355937376018559</v>
      </c>
      <c r="AD25">
        <v>148.9165929136021</v>
      </c>
      <c r="AE25">
        <v>116.41438032166509</v>
      </c>
      <c r="AF25">
        <v>104.98519852290414</v>
      </c>
      <c r="AG25">
        <v>71.283608508560434</v>
      </c>
      <c r="AH25">
        <v>110.67384868923001</v>
      </c>
      <c r="AI25">
        <v>124.67574083681752</v>
      </c>
      <c r="AJ25">
        <v>95.109408856471447</v>
      </c>
      <c r="AK25">
        <v>69.681386761070598</v>
      </c>
      <c r="AL25">
        <v>68.741416669209883</v>
      </c>
      <c r="AM25">
        <v>111.9556260872219</v>
      </c>
      <c r="AN25">
        <v>84.910122989593191</v>
      </c>
      <c r="AO25">
        <v>136.9350260933256</v>
      </c>
      <c r="AP25">
        <v>82.221442304757829</v>
      </c>
      <c r="AQ25">
        <v>50.241096224860378</v>
      </c>
      <c r="AR25">
        <v>60.644856105227817</v>
      </c>
      <c r="AS25">
        <v>57.672353282265696</v>
      </c>
      <c r="AT25">
        <v>116.97286904507584</v>
      </c>
      <c r="AU25">
        <v>132.61665700247198</v>
      </c>
      <c r="AV25">
        <v>121.03488265633106</v>
      </c>
      <c r="AW25">
        <v>51.815851313821831</v>
      </c>
      <c r="AX25">
        <v>115.06546220282601</v>
      </c>
      <c r="AY25">
        <v>95.512253181554613</v>
      </c>
      <c r="AZ25">
        <v>116.93624683370464</v>
      </c>
      <c r="BA25">
        <v>108.6870937223426</v>
      </c>
      <c r="BB25">
        <v>115.71550645466475</v>
      </c>
      <c r="BC25">
        <v>146.7802972502823</v>
      </c>
      <c r="BD25">
        <v>50.210577715384382</v>
      </c>
      <c r="BE25">
        <v>140.80477309488202</v>
      </c>
      <c r="BF25">
        <v>144.05804620502335</v>
      </c>
      <c r="BG25">
        <v>126.15283669545579</v>
      </c>
      <c r="BH25">
        <v>103.46842860194708</v>
      </c>
      <c r="BI25">
        <v>53.189184240241708</v>
      </c>
      <c r="BJ25">
        <v>51.535081026642658</v>
      </c>
      <c r="BK25">
        <v>86.381115146336242</v>
      </c>
      <c r="BL25">
        <v>124.95345927304911</v>
      </c>
      <c r="BM25">
        <v>131.6522721030305</v>
      </c>
      <c r="BN25">
        <v>139.19339579454939</v>
      </c>
      <c r="BO25">
        <v>99.024933622241889</v>
      </c>
      <c r="BP25">
        <v>126.00939970091861</v>
      </c>
      <c r="BQ25">
        <v>114.05529953917051</v>
      </c>
      <c r="BR25">
        <v>127.64519180883205</v>
      </c>
      <c r="BS25">
        <v>149.53001495406966</v>
      </c>
      <c r="BT25">
        <v>58.362071596423235</v>
      </c>
      <c r="BU25">
        <v>71.057771538438061</v>
      </c>
      <c r="BV25">
        <v>77.433088167973878</v>
      </c>
      <c r="BW25">
        <v>88.746299630726043</v>
      </c>
      <c r="BX25">
        <v>122.03588976714377</v>
      </c>
      <c r="BY25">
        <v>94.840845973082679</v>
      </c>
      <c r="BZ25">
        <v>85.309915463728743</v>
      </c>
      <c r="CA25">
        <v>56.543168431653797</v>
      </c>
      <c r="CB25">
        <v>57.05282753990295</v>
      </c>
      <c r="CC25">
        <v>136.47114474929043</v>
      </c>
      <c r="CD25">
        <v>134.64918973357342</v>
      </c>
      <c r="CE25">
        <v>143.08755760368663</v>
      </c>
      <c r="CF25">
        <v>122.07251197851498</v>
      </c>
      <c r="CG25">
        <v>82.520523697622608</v>
      </c>
      <c r="CH25">
        <v>128.06939909054842</v>
      </c>
      <c r="CI25">
        <v>103.45011749626148</v>
      </c>
      <c r="CJ25">
        <v>113.0420850245674</v>
      </c>
      <c r="CK25">
        <v>111.58940397350995</v>
      </c>
      <c r="CL25">
        <v>80.423902096621603</v>
      </c>
      <c r="CM25">
        <v>91.178624835963006</v>
      </c>
      <c r="CN25">
        <v>125.04501480147709</v>
      </c>
      <c r="CO25">
        <v>121.30039368877225</v>
      </c>
      <c r="CP25">
        <v>100.25177770317698</v>
      </c>
      <c r="CQ25">
        <v>126.41529587694937</v>
      </c>
      <c r="CR25">
        <v>110.40223395489365</v>
      </c>
      <c r="CS25">
        <v>66.461684011352887</v>
      </c>
      <c r="CT25">
        <v>137.82921842097232</v>
      </c>
      <c r="CU25">
        <v>64.212469862971886</v>
      </c>
      <c r="CV25">
        <v>136.20868556779686</v>
      </c>
    </row>
    <row r="26" spans="1:100" x14ac:dyDescent="0.25">
      <c r="A26">
        <v>77.436140018921478</v>
      </c>
      <c r="B26">
        <v>127.2698141422773</v>
      </c>
      <c r="C26">
        <v>137.008270516068</v>
      </c>
      <c r="D26">
        <v>69.901120029297772</v>
      </c>
      <c r="E26">
        <v>115.50187688833277</v>
      </c>
      <c r="F26">
        <v>103.99945066682943</v>
      </c>
      <c r="G26">
        <v>138.16187017426068</v>
      </c>
      <c r="H26">
        <v>60.095522934659868</v>
      </c>
      <c r="I26">
        <v>100.84383678701133</v>
      </c>
      <c r="J26">
        <v>69.431134983367414</v>
      </c>
      <c r="K26">
        <v>109.69725638599812</v>
      </c>
      <c r="L26">
        <v>145.30625324259165</v>
      </c>
      <c r="M26">
        <v>135.81194494460891</v>
      </c>
      <c r="N26">
        <v>122.64320810571611</v>
      </c>
      <c r="O26">
        <v>86.078981902523878</v>
      </c>
      <c r="P26">
        <v>77.060762352366709</v>
      </c>
      <c r="Q26">
        <v>50.991851557969909</v>
      </c>
      <c r="R26">
        <v>66.241950743125699</v>
      </c>
      <c r="S26">
        <v>126.31458479567857</v>
      </c>
      <c r="T26">
        <v>127.80999176000243</v>
      </c>
      <c r="U26">
        <v>130.68178350169379</v>
      </c>
      <c r="V26">
        <v>92.530594805749686</v>
      </c>
      <c r="W26">
        <v>68.018127994628742</v>
      </c>
      <c r="X26">
        <v>91.196935941648604</v>
      </c>
      <c r="Y26">
        <v>124.44380016479995</v>
      </c>
      <c r="Z26">
        <v>111.22928556169316</v>
      </c>
      <c r="AA26">
        <v>56.674398022400588</v>
      </c>
      <c r="AB26">
        <v>56.793420209356974</v>
      </c>
      <c r="AC26">
        <v>135.48844874416335</v>
      </c>
      <c r="AD26">
        <v>146.96646015808588</v>
      </c>
      <c r="AE26">
        <v>65.713980529190962</v>
      </c>
      <c r="AF26">
        <v>112.36457411420027</v>
      </c>
      <c r="AG26">
        <v>126.36341441084016</v>
      </c>
      <c r="AH26">
        <v>84.595782341990414</v>
      </c>
      <c r="AI26">
        <v>73.047578356273078</v>
      </c>
      <c r="AJ26">
        <v>76.773888363292343</v>
      </c>
      <c r="AK26">
        <v>132.7021088290048</v>
      </c>
      <c r="AL26">
        <v>90.501113925595874</v>
      </c>
      <c r="AM26">
        <v>109.65147862178412</v>
      </c>
      <c r="AN26">
        <v>116.70735801263467</v>
      </c>
      <c r="AO26">
        <v>125.59739982299266</v>
      </c>
      <c r="AP26">
        <v>87.995544297616505</v>
      </c>
      <c r="AQ26">
        <v>145.86474196600238</v>
      </c>
      <c r="AR26">
        <v>50.292977690969572</v>
      </c>
      <c r="AS26">
        <v>113.20078127384258</v>
      </c>
      <c r="AT26">
        <v>114.95864741966002</v>
      </c>
      <c r="AU26">
        <v>130.99917600024415</v>
      </c>
      <c r="AV26">
        <v>90.775780510879855</v>
      </c>
      <c r="AW26">
        <v>122.25867488631856</v>
      </c>
      <c r="AX26">
        <v>141.79967650379956</v>
      </c>
      <c r="AY26">
        <v>98.960844752342297</v>
      </c>
      <c r="AZ26">
        <v>127.97479171117283</v>
      </c>
      <c r="BA26">
        <v>78.702658162175368</v>
      </c>
      <c r="BB26">
        <v>94.401379436628304</v>
      </c>
      <c r="BC26">
        <v>50.054933317056793</v>
      </c>
      <c r="BD26">
        <v>105.67186498611409</v>
      </c>
      <c r="BE26">
        <v>128.65535447248755</v>
      </c>
      <c r="BF26">
        <v>67.50236518448439</v>
      </c>
      <c r="BG26">
        <v>145.67247535630361</v>
      </c>
      <c r="BH26">
        <v>122.68288216803491</v>
      </c>
      <c r="BI26">
        <v>120.14984588152716</v>
      </c>
      <c r="BJ26">
        <v>103.14188055055391</v>
      </c>
      <c r="BK26">
        <v>95.32914212469862</v>
      </c>
      <c r="BL26">
        <v>143.27372051149024</v>
      </c>
      <c r="BM26">
        <v>131.92999053926206</v>
      </c>
      <c r="BN26">
        <v>100.47761467329936</v>
      </c>
      <c r="BO26">
        <v>145.32761619922485</v>
      </c>
      <c r="BP26">
        <v>147.14346751304669</v>
      </c>
      <c r="BQ26">
        <v>119.07864619891964</v>
      </c>
      <c r="BR26">
        <v>61.694692831202126</v>
      </c>
      <c r="BS26">
        <v>136.81600390636919</v>
      </c>
      <c r="BT26">
        <v>117.72667622913296</v>
      </c>
      <c r="BU26">
        <v>60.635700552385018</v>
      </c>
      <c r="BV26">
        <v>111.64738914151434</v>
      </c>
      <c r="BW26">
        <v>59.372234260078741</v>
      </c>
      <c r="BX26">
        <v>143.96649067659536</v>
      </c>
      <c r="BY26">
        <v>66.791283913693661</v>
      </c>
      <c r="BZ26">
        <v>138.76308481093781</v>
      </c>
      <c r="CA26">
        <v>140.71016571550643</v>
      </c>
      <c r="CB26">
        <v>113.67381817072055</v>
      </c>
      <c r="CC26">
        <v>111.25980407116916</v>
      </c>
      <c r="CD26">
        <v>60.412915433210244</v>
      </c>
      <c r="CE26">
        <v>63.135166478469195</v>
      </c>
      <c r="CF26">
        <v>126.63502914517655</v>
      </c>
      <c r="CG26">
        <v>104.4969023712882</v>
      </c>
      <c r="CH26">
        <v>65.787224951933354</v>
      </c>
      <c r="CI26">
        <v>147.42423780022585</v>
      </c>
      <c r="CJ26">
        <v>105.55589465010529</v>
      </c>
      <c r="CK26">
        <v>73.346659749137856</v>
      </c>
      <c r="CL26">
        <v>139.43754387035739</v>
      </c>
      <c r="CM26">
        <v>94.648579363383902</v>
      </c>
      <c r="CN26">
        <v>133.00119022186956</v>
      </c>
      <c r="CO26">
        <v>62.768944364757225</v>
      </c>
      <c r="CP26">
        <v>118.6147648548845</v>
      </c>
      <c r="CQ26">
        <v>126.68996246223334</v>
      </c>
      <c r="CR26">
        <v>92.396313364055302</v>
      </c>
      <c r="CS26">
        <v>125.24643696401868</v>
      </c>
      <c r="CT26">
        <v>87.528611102633747</v>
      </c>
      <c r="CU26">
        <v>115.97796563615833</v>
      </c>
      <c r="CV26">
        <v>141.31138035218362</v>
      </c>
    </row>
    <row r="27" spans="1:100" x14ac:dyDescent="0.25">
      <c r="A27">
        <v>51.901303140354628</v>
      </c>
      <c r="B27">
        <v>133.32468642231512</v>
      </c>
      <c r="C27">
        <v>50.097659230323188</v>
      </c>
      <c r="D27">
        <v>77.939695425275431</v>
      </c>
      <c r="E27">
        <v>126.0856959746086</v>
      </c>
      <c r="F27">
        <v>138.17407757805108</v>
      </c>
      <c r="G27">
        <v>127.80083620715963</v>
      </c>
      <c r="H27">
        <v>144.85457930234688</v>
      </c>
      <c r="I27">
        <v>95.023957029938657</v>
      </c>
      <c r="J27">
        <v>113.13974425489059</v>
      </c>
      <c r="K27">
        <v>85.08102664265877</v>
      </c>
      <c r="L27">
        <v>143.85662404248177</v>
      </c>
      <c r="M27">
        <v>133.33689382610552</v>
      </c>
      <c r="N27">
        <v>148.69991149632253</v>
      </c>
      <c r="O27">
        <v>57.593005157628099</v>
      </c>
      <c r="P27">
        <v>96.748252815332506</v>
      </c>
      <c r="Q27">
        <v>139.3398846400342</v>
      </c>
      <c r="R27">
        <v>108.72066408276619</v>
      </c>
      <c r="S27">
        <v>127.2240363780633</v>
      </c>
      <c r="T27">
        <v>87.421796319467759</v>
      </c>
      <c r="U27">
        <v>122.7317117831965</v>
      </c>
      <c r="V27">
        <v>129.98596148564104</v>
      </c>
      <c r="W27">
        <v>136.01031525620289</v>
      </c>
      <c r="X27">
        <v>82.5846125675222</v>
      </c>
      <c r="Y27">
        <v>54.931791131321148</v>
      </c>
      <c r="Z27">
        <v>133.63597521897032</v>
      </c>
      <c r="AA27">
        <v>64.328440198980687</v>
      </c>
      <c r="AB27">
        <v>59.68962675862911</v>
      </c>
      <c r="AC27">
        <v>97.764519180883212</v>
      </c>
      <c r="AD27">
        <v>101.64036988433485</v>
      </c>
      <c r="AE27">
        <v>113.98205511642811</v>
      </c>
      <c r="AF27">
        <v>120.24140140995515</v>
      </c>
      <c r="AG27">
        <v>76.0658589434492</v>
      </c>
      <c r="AH27">
        <v>121.44383068330943</v>
      </c>
      <c r="AI27">
        <v>86.747337260048226</v>
      </c>
      <c r="AJ27">
        <v>116.55476546525468</v>
      </c>
      <c r="AK27">
        <v>109.88647114474929</v>
      </c>
      <c r="AL27">
        <v>51.88604388561663</v>
      </c>
      <c r="AM27">
        <v>99.107333597827079</v>
      </c>
      <c r="AN27">
        <v>70.136112552262944</v>
      </c>
      <c r="AO27">
        <v>71.869563890499592</v>
      </c>
      <c r="AP27">
        <v>113.57005523850216</v>
      </c>
      <c r="AQ27">
        <v>123.71135593737603</v>
      </c>
      <c r="AR27">
        <v>109.77660451063571</v>
      </c>
      <c r="AS27">
        <v>85.459456160161139</v>
      </c>
      <c r="AT27">
        <v>56.707968382824184</v>
      </c>
      <c r="AU27">
        <v>98.216193121127958</v>
      </c>
      <c r="AV27">
        <v>107.49992370372631</v>
      </c>
      <c r="AW27">
        <v>129.55565050202949</v>
      </c>
      <c r="AX27">
        <v>109.70641193884092</v>
      </c>
      <c r="AY27">
        <v>113.51207007049777</v>
      </c>
      <c r="AZ27">
        <v>61.627552110354927</v>
      </c>
      <c r="BA27">
        <v>145.12619403668327</v>
      </c>
      <c r="BB27">
        <v>95.045319986571855</v>
      </c>
      <c r="BC27">
        <v>142.2696615497299</v>
      </c>
      <c r="BD27">
        <v>65.057832575457013</v>
      </c>
      <c r="BE27">
        <v>87.058626056703389</v>
      </c>
      <c r="BF27">
        <v>148.72432630390333</v>
      </c>
      <c r="BG27">
        <v>134.39588610492262</v>
      </c>
      <c r="BH27">
        <v>54.391613513595999</v>
      </c>
      <c r="BI27">
        <v>146.30726035340433</v>
      </c>
      <c r="BJ27">
        <v>115.96575823236793</v>
      </c>
      <c r="BK27">
        <v>117.4306466872158</v>
      </c>
      <c r="BL27">
        <v>91.816461684011358</v>
      </c>
      <c r="BM27">
        <v>52.011169774468215</v>
      </c>
      <c r="BN27">
        <v>112.31574449903867</v>
      </c>
      <c r="BO27">
        <v>85.81652272103031</v>
      </c>
      <c r="BP27">
        <v>120.78768272957548</v>
      </c>
      <c r="BQ27">
        <v>143.36222418897063</v>
      </c>
      <c r="BR27">
        <v>61.487166966765344</v>
      </c>
      <c r="BS27">
        <v>94.630268257698305</v>
      </c>
      <c r="BT27">
        <v>147.42728965117345</v>
      </c>
      <c r="BU27">
        <v>137.98791467024751</v>
      </c>
      <c r="BV27">
        <v>52.612384411145356</v>
      </c>
      <c r="BW27">
        <v>100.35554063539537</v>
      </c>
      <c r="BX27">
        <v>80.649739066743976</v>
      </c>
      <c r="BY27">
        <v>124.03485213782159</v>
      </c>
      <c r="BZ27">
        <v>126.57704397717215</v>
      </c>
      <c r="CA27">
        <v>114.36658833582568</v>
      </c>
      <c r="CB27">
        <v>134.23413800469984</v>
      </c>
      <c r="CC27">
        <v>66.470839564195686</v>
      </c>
      <c r="CD27">
        <v>119.5883053071688</v>
      </c>
      <c r="CE27">
        <v>84.727011932737213</v>
      </c>
      <c r="CF27">
        <v>143.92071291238136</v>
      </c>
      <c r="CG27">
        <v>68.271431623279511</v>
      </c>
      <c r="CH27">
        <v>142.09570604571672</v>
      </c>
      <c r="CI27">
        <v>71.930600909451584</v>
      </c>
      <c r="CJ27">
        <v>102.68410290841396</v>
      </c>
      <c r="CK27">
        <v>77.1340067751091</v>
      </c>
      <c r="CL27">
        <v>121.18747520371105</v>
      </c>
      <c r="CM27">
        <v>134.22803430280464</v>
      </c>
      <c r="CN27">
        <v>67.279580065309602</v>
      </c>
      <c r="CO27">
        <v>78.299813837092202</v>
      </c>
      <c r="CP27">
        <v>84.577471236304817</v>
      </c>
      <c r="CQ27">
        <v>88.11761833552049</v>
      </c>
      <c r="CR27">
        <v>139.22696615497298</v>
      </c>
      <c r="CS27">
        <v>64.151432844019894</v>
      </c>
      <c r="CT27">
        <v>114.34522537919248</v>
      </c>
      <c r="CU27">
        <v>59.69573046052431</v>
      </c>
      <c r="CV27">
        <v>73.291726432081063</v>
      </c>
    </row>
    <row r="28" spans="1:100" x14ac:dyDescent="0.25">
      <c r="A28">
        <v>92.158268990142517</v>
      </c>
      <c r="B28">
        <v>140.49348429822686</v>
      </c>
      <c r="C28">
        <v>65.222632526627393</v>
      </c>
      <c r="D28">
        <v>61.478011413922545</v>
      </c>
      <c r="E28">
        <v>72.437208166753138</v>
      </c>
      <c r="F28">
        <v>57.126071962645341</v>
      </c>
      <c r="G28">
        <v>50.119022186956386</v>
      </c>
      <c r="H28">
        <v>80.70162053285317</v>
      </c>
      <c r="I28">
        <v>58.066042054506056</v>
      </c>
      <c r="J28">
        <v>75.223548081911673</v>
      </c>
      <c r="K28">
        <v>56.225775933103428</v>
      </c>
      <c r="L28">
        <v>125.11215552232429</v>
      </c>
      <c r="M28">
        <v>104.79903561510056</v>
      </c>
      <c r="N28">
        <v>90.653706472975855</v>
      </c>
      <c r="O28">
        <v>56.537064729758598</v>
      </c>
      <c r="P28">
        <v>143.95123142185736</v>
      </c>
      <c r="Q28">
        <v>110.27405621509445</v>
      </c>
      <c r="R28">
        <v>124.41633350627156</v>
      </c>
      <c r="S28">
        <v>96.302682576982932</v>
      </c>
      <c r="T28">
        <v>126.70522171697134</v>
      </c>
      <c r="U28">
        <v>80.280465102084406</v>
      </c>
      <c r="V28">
        <v>86.326181829279449</v>
      </c>
      <c r="W28">
        <v>114.47950682088687</v>
      </c>
      <c r="X28">
        <v>101.27414777062287</v>
      </c>
      <c r="Y28">
        <v>146.8077639088107</v>
      </c>
      <c r="Z28">
        <v>83.426923429059727</v>
      </c>
      <c r="AA28">
        <v>131.00527970213935</v>
      </c>
      <c r="AB28">
        <v>134.66139713736382</v>
      </c>
      <c r="AC28">
        <v>78.421887874996187</v>
      </c>
      <c r="AD28">
        <v>51.251258888515885</v>
      </c>
      <c r="AE28">
        <v>65.500350962858974</v>
      </c>
      <c r="AF28">
        <v>139.333780938139</v>
      </c>
      <c r="AG28">
        <v>73.718985564745026</v>
      </c>
      <c r="AH28">
        <v>136.05914487136448</v>
      </c>
      <c r="AI28">
        <v>103.06558427686392</v>
      </c>
      <c r="AJ28">
        <v>138.36024048585466</v>
      </c>
      <c r="AK28">
        <v>78.366954557939394</v>
      </c>
      <c r="AL28">
        <v>106.17847224341563</v>
      </c>
      <c r="AM28">
        <v>72.751548814355914</v>
      </c>
      <c r="AN28">
        <v>92.49702444532609</v>
      </c>
      <c r="AO28">
        <v>116.41132847071749</v>
      </c>
      <c r="AP28">
        <v>120.57100131229591</v>
      </c>
      <c r="AQ28">
        <v>54.358043153172403</v>
      </c>
      <c r="AR28">
        <v>142.2696615497299</v>
      </c>
      <c r="AS28">
        <v>76.474806970427565</v>
      </c>
      <c r="AT28">
        <v>132.75399029511399</v>
      </c>
      <c r="AU28">
        <v>79.18485061189611</v>
      </c>
      <c r="AV28">
        <v>68.247016815698714</v>
      </c>
      <c r="AW28">
        <v>143.45683156834622</v>
      </c>
      <c r="AX28">
        <v>58.185064241462449</v>
      </c>
      <c r="AY28">
        <v>121.19357890560624</v>
      </c>
      <c r="AZ28">
        <v>148.49238563188572</v>
      </c>
      <c r="BA28">
        <v>92.423780022583699</v>
      </c>
      <c r="BB28">
        <v>116.69820245979187</v>
      </c>
      <c r="BC28">
        <v>125.0297555467391</v>
      </c>
      <c r="BD28">
        <v>58.499404889065218</v>
      </c>
      <c r="BE28">
        <v>126.97073274941252</v>
      </c>
      <c r="BF28">
        <v>132.04290902432325</v>
      </c>
      <c r="BG28">
        <v>83.970152897732476</v>
      </c>
      <c r="BH28">
        <v>80.994598223822749</v>
      </c>
      <c r="BI28">
        <v>118.75514999847408</v>
      </c>
      <c r="BJ28">
        <v>107.21304971465193</v>
      </c>
      <c r="BK28">
        <v>121.92907498397778</v>
      </c>
      <c r="BL28">
        <v>131.6064943388165</v>
      </c>
      <c r="BM28">
        <v>108.81832331308939</v>
      </c>
      <c r="BN28">
        <v>105.27207251197851</v>
      </c>
      <c r="BO28">
        <v>141.15573595385601</v>
      </c>
      <c r="BP28">
        <v>79.212317270424506</v>
      </c>
      <c r="BQ28">
        <v>113.62193670461136</v>
      </c>
      <c r="BR28">
        <v>57.556382946256903</v>
      </c>
      <c r="BS28">
        <v>55.505539109469893</v>
      </c>
      <c r="BT28">
        <v>108.6474196600238</v>
      </c>
      <c r="BU28">
        <v>149.42014831995607</v>
      </c>
      <c r="BV28">
        <v>53.03353984191412</v>
      </c>
      <c r="BW28">
        <v>134.8597674489578</v>
      </c>
      <c r="BX28">
        <v>50.0030518509476</v>
      </c>
      <c r="BY28">
        <v>56.848353526413767</v>
      </c>
      <c r="BZ28">
        <v>127.08365123447371</v>
      </c>
      <c r="CA28">
        <v>51.235999633777887</v>
      </c>
      <c r="CB28">
        <v>102.66884365367596</v>
      </c>
      <c r="CC28">
        <v>141.30527665028842</v>
      </c>
      <c r="CD28">
        <v>102.82448805200355</v>
      </c>
      <c r="CE28">
        <v>67.371135593737606</v>
      </c>
      <c r="CF28">
        <v>132.21381267738883</v>
      </c>
      <c r="CG28">
        <v>94.785912656025886</v>
      </c>
      <c r="CH28">
        <v>88.090151676992093</v>
      </c>
      <c r="CI28">
        <v>58.236945707571643</v>
      </c>
      <c r="CJ28">
        <v>68.262276070436712</v>
      </c>
      <c r="CK28">
        <v>114.80605487228004</v>
      </c>
      <c r="CL28">
        <v>81.214331492049922</v>
      </c>
      <c r="CM28">
        <v>106.22730185857722</v>
      </c>
      <c r="CN28">
        <v>81.452375865962708</v>
      </c>
      <c r="CO28">
        <v>85.990478225043489</v>
      </c>
      <c r="CP28">
        <v>88.715781121250046</v>
      </c>
      <c r="CQ28">
        <v>60.592974639118623</v>
      </c>
      <c r="CR28">
        <v>67.621387371440775</v>
      </c>
      <c r="CS28">
        <v>140.01129184850612</v>
      </c>
      <c r="CT28">
        <v>108.01568651387066</v>
      </c>
      <c r="CU28">
        <v>101.77465132602924</v>
      </c>
      <c r="CV28">
        <v>117.36045411542099</v>
      </c>
    </row>
    <row r="29" spans="1:100" x14ac:dyDescent="0.25">
      <c r="A29">
        <v>140.34089175084688</v>
      </c>
      <c r="B29">
        <v>122.60048219244972</v>
      </c>
      <c r="C29">
        <v>116.3686025574511</v>
      </c>
      <c r="D29">
        <v>83.286538285470129</v>
      </c>
      <c r="E29">
        <v>78.250984221930608</v>
      </c>
      <c r="F29">
        <v>135.06424146244697</v>
      </c>
      <c r="G29">
        <v>102.93130283516953</v>
      </c>
      <c r="H29">
        <v>144.12823877681814</v>
      </c>
      <c r="I29">
        <v>57.000946073793756</v>
      </c>
      <c r="J29">
        <v>146.45069734794151</v>
      </c>
      <c r="K29">
        <v>131.53935361796931</v>
      </c>
      <c r="L29">
        <v>53.027436140018921</v>
      </c>
      <c r="M29">
        <v>97.099215674306464</v>
      </c>
      <c r="N29">
        <v>72.812585833307907</v>
      </c>
      <c r="O29">
        <v>71.250038148136838</v>
      </c>
      <c r="P29">
        <v>101.1062959685049</v>
      </c>
      <c r="Q29">
        <v>80.329294717246</v>
      </c>
      <c r="R29">
        <v>53.427228614154487</v>
      </c>
      <c r="S29">
        <v>100.40437025055697</v>
      </c>
      <c r="T29">
        <v>114.92202520828883</v>
      </c>
      <c r="U29">
        <v>92.292550431836915</v>
      </c>
      <c r="V29">
        <v>85.642567217017117</v>
      </c>
      <c r="W29">
        <v>114.48561052278207</v>
      </c>
      <c r="X29">
        <v>95.359660634174617</v>
      </c>
      <c r="Y29">
        <v>118.26380199591053</v>
      </c>
      <c r="Z29">
        <v>99.815363017670222</v>
      </c>
      <c r="AA29">
        <v>113.89660328989532</v>
      </c>
      <c r="AB29">
        <v>116.86910611285745</v>
      </c>
      <c r="AC29">
        <v>57.998901333658864</v>
      </c>
      <c r="AD29">
        <v>77.372051149021885</v>
      </c>
      <c r="AE29">
        <v>62.198248237556079</v>
      </c>
      <c r="AF29">
        <v>115.1600695822016</v>
      </c>
      <c r="AG29">
        <v>75.125888851588485</v>
      </c>
      <c r="AH29">
        <v>65.192114017151397</v>
      </c>
      <c r="AI29">
        <v>55.53605761894589</v>
      </c>
      <c r="AJ29">
        <v>141.51280251472519</v>
      </c>
      <c r="AK29">
        <v>146.70705282753991</v>
      </c>
      <c r="AL29">
        <v>89.38108462782678</v>
      </c>
      <c r="AM29">
        <v>93.76659443952758</v>
      </c>
      <c r="AN29">
        <v>111.82134464552752</v>
      </c>
      <c r="AO29">
        <v>128.61262855922115</v>
      </c>
      <c r="AP29">
        <v>121.58726767784661</v>
      </c>
      <c r="AQ29">
        <v>94.01684621723075</v>
      </c>
      <c r="AR29">
        <v>128.47834711752677</v>
      </c>
      <c r="AS29">
        <v>102.40638447218237</v>
      </c>
      <c r="AT29">
        <v>100.99642933439131</v>
      </c>
      <c r="AU29">
        <v>137.21579638050477</v>
      </c>
      <c r="AV29">
        <v>103.2303842280343</v>
      </c>
      <c r="AW29">
        <v>119.20682393871883</v>
      </c>
      <c r="AX29">
        <v>65.103610339671008</v>
      </c>
      <c r="AY29">
        <v>59.445478682821133</v>
      </c>
      <c r="AZ29">
        <v>78.336436048463398</v>
      </c>
      <c r="BA29">
        <v>101.20395519882808</v>
      </c>
      <c r="BB29">
        <v>99.021881771294289</v>
      </c>
      <c r="BC29">
        <v>141.22898037659843</v>
      </c>
      <c r="BD29">
        <v>52.887050996429338</v>
      </c>
      <c r="BE29">
        <v>117.2780541398358</v>
      </c>
      <c r="BF29">
        <v>133.35825678273872</v>
      </c>
      <c r="BG29">
        <v>85.267189550462348</v>
      </c>
      <c r="BH29">
        <v>95.45426801355022</v>
      </c>
      <c r="BI29">
        <v>118.08069093905453</v>
      </c>
      <c r="BJ29">
        <v>87.852107303079322</v>
      </c>
      <c r="BK29">
        <v>123.9219336527604</v>
      </c>
      <c r="BL29">
        <v>54.516739402447584</v>
      </c>
      <c r="BM29">
        <v>71.472823267311625</v>
      </c>
      <c r="BN29">
        <v>68.93063142796106</v>
      </c>
      <c r="BO29">
        <v>57.885982848597678</v>
      </c>
      <c r="BP29">
        <v>118.07458723715934</v>
      </c>
      <c r="BQ29">
        <v>93.208105716116819</v>
      </c>
      <c r="BR29">
        <v>140.1333658864101</v>
      </c>
      <c r="BS29">
        <v>114.17737357707449</v>
      </c>
      <c r="BT29">
        <v>102.21716971343119</v>
      </c>
      <c r="BU29">
        <v>93.662831507309193</v>
      </c>
      <c r="BV29">
        <v>144.3906979583117</v>
      </c>
      <c r="BW29">
        <v>91.779839472640163</v>
      </c>
      <c r="BX29">
        <v>76.621295815912347</v>
      </c>
      <c r="BY29">
        <v>113.84777367473373</v>
      </c>
      <c r="BZ29">
        <v>58.523819696646015</v>
      </c>
      <c r="CA29">
        <v>110.65553758354442</v>
      </c>
      <c r="CB29">
        <v>80.100405896176028</v>
      </c>
      <c r="CC29">
        <v>91.279335917233794</v>
      </c>
      <c r="CD29">
        <v>58.120975371562849</v>
      </c>
      <c r="CE29">
        <v>129.65330973235268</v>
      </c>
      <c r="CF29">
        <v>129.30539872432632</v>
      </c>
      <c r="CG29">
        <v>146.37745292519912</v>
      </c>
      <c r="CH29">
        <v>120.84871974852747</v>
      </c>
      <c r="CI29">
        <v>149.02951139866329</v>
      </c>
      <c r="CJ29">
        <v>73.706778160954627</v>
      </c>
      <c r="CK29">
        <v>129.97680593279824</v>
      </c>
      <c r="CL29">
        <v>146.38660847804192</v>
      </c>
      <c r="CM29">
        <v>63.141270180364394</v>
      </c>
      <c r="CN29">
        <v>100.022888882107</v>
      </c>
      <c r="CO29">
        <v>122.61574144718772</v>
      </c>
      <c r="CP29">
        <v>121.09897152623066</v>
      </c>
      <c r="CQ29">
        <v>78.959013641773737</v>
      </c>
      <c r="CR29">
        <v>139.14151432844019</v>
      </c>
      <c r="CS29">
        <v>126.19556260872218</v>
      </c>
      <c r="CT29">
        <v>105.54368724631489</v>
      </c>
      <c r="CU29">
        <v>66.034424878688924</v>
      </c>
      <c r="CV29">
        <v>78.748435926389362</v>
      </c>
    </row>
    <row r="30" spans="1:100" x14ac:dyDescent="0.25">
      <c r="A30">
        <v>88.276314584795671</v>
      </c>
      <c r="B30">
        <v>59.15555284279916</v>
      </c>
      <c r="C30">
        <v>106.32190923795281</v>
      </c>
      <c r="D30">
        <v>92.396313364055302</v>
      </c>
      <c r="E30">
        <v>80.53682058168279</v>
      </c>
      <c r="F30">
        <v>139.85259559923094</v>
      </c>
      <c r="G30">
        <v>52.154606769005404</v>
      </c>
      <c r="H30">
        <v>110.08178960539567</v>
      </c>
      <c r="I30">
        <v>105.07675405133213</v>
      </c>
      <c r="J30">
        <v>103.96893215735344</v>
      </c>
      <c r="K30">
        <v>135.09170812097537</v>
      </c>
      <c r="L30">
        <v>69.980468153935362</v>
      </c>
      <c r="M30">
        <v>95.53361613818781</v>
      </c>
      <c r="N30">
        <v>133.24533829767753</v>
      </c>
      <c r="O30">
        <v>111.92205572679831</v>
      </c>
      <c r="P30">
        <v>145.7182531205176</v>
      </c>
      <c r="Q30">
        <v>149.08139286477248</v>
      </c>
      <c r="R30">
        <v>132.12225714896084</v>
      </c>
      <c r="S30">
        <v>131.48442030091252</v>
      </c>
      <c r="T30">
        <v>54.284798730430005</v>
      </c>
      <c r="U30">
        <v>74.124881740775777</v>
      </c>
      <c r="V30">
        <v>147.08548234504229</v>
      </c>
      <c r="W30">
        <v>89.124729148228397</v>
      </c>
      <c r="X30">
        <v>55.215613269447921</v>
      </c>
      <c r="Y30">
        <v>105.4338206122013</v>
      </c>
      <c r="Z30">
        <v>83.875545518356887</v>
      </c>
      <c r="AA30">
        <v>87.592699972533339</v>
      </c>
      <c r="AB30">
        <v>130.352183599353</v>
      </c>
      <c r="AC30">
        <v>77.204199346903891</v>
      </c>
      <c r="AD30">
        <v>50.662251655629142</v>
      </c>
      <c r="AE30">
        <v>120.01251258888516</v>
      </c>
      <c r="AF30">
        <v>97.437971129490037</v>
      </c>
      <c r="AG30">
        <v>94.843897824030279</v>
      </c>
      <c r="AH30">
        <v>105.32395397808772</v>
      </c>
      <c r="AI30">
        <v>140.54536576433605</v>
      </c>
      <c r="AJ30">
        <v>60.626544999542219</v>
      </c>
      <c r="AK30">
        <v>95.936460463270976</v>
      </c>
      <c r="AL30">
        <v>134.93301187170019</v>
      </c>
      <c r="AM30">
        <v>138.39075899533066</v>
      </c>
      <c r="AN30">
        <v>51.016266365550706</v>
      </c>
      <c r="AO30">
        <v>141.15268410290841</v>
      </c>
      <c r="AP30">
        <v>145.64195684682761</v>
      </c>
      <c r="AQ30">
        <v>80.70162053285317</v>
      </c>
      <c r="AR30">
        <v>60.354930265205851</v>
      </c>
      <c r="AS30">
        <v>125.60960722678306</v>
      </c>
      <c r="AT30">
        <v>90.98635822626423</v>
      </c>
      <c r="AU30">
        <v>140.09979552598651</v>
      </c>
      <c r="AV30">
        <v>121.02877895443586</v>
      </c>
      <c r="AW30">
        <v>51.413006988738672</v>
      </c>
      <c r="AX30">
        <v>116.85689870906705</v>
      </c>
      <c r="AY30">
        <v>138.65321817682423</v>
      </c>
      <c r="AZ30">
        <v>72.959074678792689</v>
      </c>
      <c r="BA30">
        <v>53.530991546372874</v>
      </c>
      <c r="BB30">
        <v>134.72243415631581</v>
      </c>
      <c r="BC30">
        <v>52.255317850276192</v>
      </c>
      <c r="BD30">
        <v>76.850184636982334</v>
      </c>
      <c r="BE30">
        <v>139.96246223334452</v>
      </c>
      <c r="BF30">
        <v>84.430982390820034</v>
      </c>
      <c r="BG30">
        <v>66.177861873226107</v>
      </c>
      <c r="BH30">
        <v>75.81865901669363</v>
      </c>
      <c r="BI30">
        <v>131.22196111941892</v>
      </c>
      <c r="BJ30">
        <v>115.11123996704001</v>
      </c>
      <c r="BK30">
        <v>53.924680318613241</v>
      </c>
      <c r="BL30">
        <v>93.714712973418386</v>
      </c>
      <c r="BM30">
        <v>72.595904416028318</v>
      </c>
      <c r="BN30">
        <v>90.36378063295389</v>
      </c>
      <c r="BO30">
        <v>76.303903317361986</v>
      </c>
      <c r="BP30">
        <v>143.29203161717584</v>
      </c>
      <c r="BQ30">
        <v>90.33021027253028</v>
      </c>
      <c r="BR30">
        <v>87.971129490035707</v>
      </c>
      <c r="BS30">
        <v>80.494094668416395</v>
      </c>
      <c r="BT30">
        <v>91.453291421246988</v>
      </c>
      <c r="BU30">
        <v>108.36664937284462</v>
      </c>
      <c r="BV30">
        <v>112.10211493270668</v>
      </c>
      <c r="BW30">
        <v>75.89800714133122</v>
      </c>
      <c r="BX30">
        <v>94.224372081667525</v>
      </c>
      <c r="BY30">
        <v>55.954161198767054</v>
      </c>
      <c r="BZ30">
        <v>133.08969389934995</v>
      </c>
      <c r="CA30">
        <v>127.36442152165289</v>
      </c>
      <c r="CB30">
        <v>79.572435682241277</v>
      </c>
      <c r="CC30">
        <v>131.6553239539781</v>
      </c>
      <c r="CD30">
        <v>57.831049531540877</v>
      </c>
      <c r="CE30">
        <v>56.411938840907013</v>
      </c>
      <c r="CF30">
        <v>106.21814630573442</v>
      </c>
      <c r="CG30">
        <v>139.43754387035739</v>
      </c>
      <c r="CH30">
        <v>84.022034363841669</v>
      </c>
      <c r="CI30">
        <v>91.117587817011014</v>
      </c>
      <c r="CJ30">
        <v>76.523636585589159</v>
      </c>
      <c r="CK30">
        <v>62.488174077578051</v>
      </c>
      <c r="CL30">
        <v>141.26865443891722</v>
      </c>
      <c r="CM30">
        <v>55.209509567552722</v>
      </c>
      <c r="CN30">
        <v>131.6400646992401</v>
      </c>
      <c r="CO30">
        <v>90.311899166844682</v>
      </c>
      <c r="CP30">
        <v>72.247993408001946</v>
      </c>
      <c r="CQ30">
        <v>137.10287789544358</v>
      </c>
      <c r="CR30">
        <v>106.97195348979156</v>
      </c>
      <c r="CS30">
        <v>64.774010437330247</v>
      </c>
      <c r="CT30">
        <v>57.05282753990295</v>
      </c>
      <c r="CU30">
        <v>129.39085055085911</v>
      </c>
      <c r="CV30">
        <v>76.142155217139191</v>
      </c>
    </row>
    <row r="31" spans="1:100" x14ac:dyDescent="0.25">
      <c r="A31">
        <v>72.360911893063147</v>
      </c>
      <c r="B31">
        <v>135.47013763847775</v>
      </c>
      <c r="C31">
        <v>51.940977202673423</v>
      </c>
      <c r="D31">
        <v>51.107821893978695</v>
      </c>
      <c r="E31">
        <v>59.949034089175086</v>
      </c>
      <c r="F31">
        <v>108.10724204229865</v>
      </c>
      <c r="G31">
        <v>108.48567155980102</v>
      </c>
      <c r="H31">
        <v>116.12140263069551</v>
      </c>
      <c r="I31">
        <v>86.9670705282754</v>
      </c>
      <c r="J31">
        <v>82.972197637867367</v>
      </c>
      <c r="K31">
        <v>149.93896298104801</v>
      </c>
      <c r="L31">
        <v>92.255928220465705</v>
      </c>
      <c r="M31">
        <v>61.188085573900572</v>
      </c>
      <c r="N31">
        <v>140.09979552598651</v>
      </c>
      <c r="O31">
        <v>76.084170049134798</v>
      </c>
      <c r="P31">
        <v>110.46937467574084</v>
      </c>
      <c r="Q31">
        <v>148.80062257759332</v>
      </c>
      <c r="R31">
        <v>53.839228492080444</v>
      </c>
      <c r="S31">
        <v>95.182653279213838</v>
      </c>
      <c r="T31">
        <v>102.1073030793176</v>
      </c>
      <c r="U31">
        <v>137.44163335062717</v>
      </c>
      <c r="V31">
        <v>66.205328531754503</v>
      </c>
      <c r="W31">
        <v>116.3869136631367</v>
      </c>
      <c r="X31">
        <v>84.089175084688861</v>
      </c>
      <c r="Y31">
        <v>93.19589831232642</v>
      </c>
      <c r="Z31">
        <v>78.40052491836299</v>
      </c>
      <c r="AA31">
        <v>87.705618457594539</v>
      </c>
      <c r="AB31">
        <v>107.5518051698355</v>
      </c>
      <c r="AC31">
        <v>127.16910306100651</v>
      </c>
      <c r="AD31">
        <v>113.61583300271616</v>
      </c>
      <c r="AE31">
        <v>120.08880886257515</v>
      </c>
      <c r="AF31">
        <v>148.08648945585497</v>
      </c>
      <c r="AG31">
        <v>137.23410748619037</v>
      </c>
      <c r="AH31">
        <v>54.24207281716361</v>
      </c>
      <c r="AI31">
        <v>88.273262733848071</v>
      </c>
      <c r="AJ31">
        <v>65.717032380138562</v>
      </c>
      <c r="AK31">
        <v>140.62471388897364</v>
      </c>
      <c r="AL31">
        <v>106.6454054383984</v>
      </c>
      <c r="AM31">
        <v>149.00204474013489</v>
      </c>
      <c r="AN31">
        <v>112.73689992980744</v>
      </c>
      <c r="AO31">
        <v>62.94900357066561</v>
      </c>
      <c r="AP31">
        <v>96.577349162266913</v>
      </c>
      <c r="AQ31">
        <v>67.249061555833606</v>
      </c>
      <c r="AR31">
        <v>117.48863185522019</v>
      </c>
      <c r="AS31">
        <v>99.305703909421055</v>
      </c>
      <c r="AT31">
        <v>148.39167455061494</v>
      </c>
      <c r="AU31">
        <v>91.108432264168215</v>
      </c>
      <c r="AV31">
        <v>122.28003784295176</v>
      </c>
      <c r="AW31">
        <v>113.0420850245674</v>
      </c>
      <c r="AX31">
        <v>51.156651509140296</v>
      </c>
      <c r="AY31">
        <v>60.75777459028901</v>
      </c>
      <c r="AZ31">
        <v>133.7946714682455</v>
      </c>
      <c r="BA31">
        <v>79.502243110446486</v>
      </c>
      <c r="BB31">
        <v>61.557359538560135</v>
      </c>
      <c r="BC31">
        <v>66.96523941770684</v>
      </c>
      <c r="BD31">
        <v>118.6361278115177</v>
      </c>
      <c r="BE31">
        <v>142.12012085329752</v>
      </c>
      <c r="BF31">
        <v>139.68169194616536</v>
      </c>
      <c r="BG31">
        <v>82.569353312784202</v>
      </c>
      <c r="BH31">
        <v>78.373058259834593</v>
      </c>
      <c r="BI31">
        <v>73.926511429181801</v>
      </c>
      <c r="BJ31">
        <v>119.17325357829523</v>
      </c>
      <c r="BK31">
        <v>95.292519913327425</v>
      </c>
      <c r="BL31">
        <v>58.664204840235598</v>
      </c>
      <c r="BM31">
        <v>61.456648457289347</v>
      </c>
      <c r="BN31">
        <v>120.01556443983276</v>
      </c>
      <c r="BO31">
        <v>56.579790643024992</v>
      </c>
      <c r="BP31">
        <v>121.05014191106906</v>
      </c>
      <c r="BQ31">
        <v>122.47535630359813</v>
      </c>
      <c r="BR31">
        <v>131.71330912198249</v>
      </c>
      <c r="BS31">
        <v>119.44792016357921</v>
      </c>
      <c r="BT31">
        <v>91.88665425580615</v>
      </c>
      <c r="BU31">
        <v>71.692556535538799</v>
      </c>
      <c r="BV31">
        <v>78.745384075441763</v>
      </c>
      <c r="BW31">
        <v>54.644917142246769</v>
      </c>
      <c r="BX31">
        <v>76.343577379680781</v>
      </c>
      <c r="BY31">
        <v>91.322061830500203</v>
      </c>
      <c r="BZ31">
        <v>71.35380108035524</v>
      </c>
      <c r="CA31">
        <v>110.79897457808161</v>
      </c>
      <c r="CB31">
        <v>140.52705465865046</v>
      </c>
      <c r="CC31">
        <v>97.163304544206056</v>
      </c>
      <c r="CD31">
        <v>69.815668202764982</v>
      </c>
      <c r="CE31">
        <v>134.07544175542466</v>
      </c>
      <c r="CF31">
        <v>114.90981780449843</v>
      </c>
      <c r="CG31">
        <v>140.80172124393442</v>
      </c>
      <c r="CH31">
        <v>140.31647694326608</v>
      </c>
      <c r="CI31">
        <v>113.08481093783379</v>
      </c>
      <c r="CJ31">
        <v>122.18237861262857</v>
      </c>
      <c r="CK31">
        <v>138.58302560502943</v>
      </c>
      <c r="CL31">
        <v>130.53224280526138</v>
      </c>
      <c r="CM31">
        <v>64.587847529526655</v>
      </c>
      <c r="CN31">
        <v>82.639545884578993</v>
      </c>
      <c r="CO31">
        <v>67.963194677571948</v>
      </c>
      <c r="CP31">
        <v>143.11502426221503</v>
      </c>
      <c r="CQ31">
        <v>125.63402203436385</v>
      </c>
      <c r="CR31">
        <v>100.22125919370099</v>
      </c>
      <c r="CS31">
        <v>121.87414166692099</v>
      </c>
      <c r="CT31">
        <v>135.07644886623737</v>
      </c>
      <c r="CU31">
        <v>67.78313547166357</v>
      </c>
      <c r="CV31">
        <v>82.343516342661829</v>
      </c>
    </row>
    <row r="32" spans="1:100" x14ac:dyDescent="0.25">
      <c r="A32">
        <v>65.89709158604694</v>
      </c>
      <c r="B32">
        <v>103.51115451521348</v>
      </c>
      <c r="C32">
        <v>87.900936918240916</v>
      </c>
      <c r="D32">
        <v>64.850306711020238</v>
      </c>
      <c r="E32">
        <v>128.1670583208716</v>
      </c>
      <c r="F32">
        <v>52.157658619953004</v>
      </c>
      <c r="G32">
        <v>99.058503982665485</v>
      </c>
      <c r="H32">
        <v>69.653920102542187</v>
      </c>
      <c r="I32">
        <v>70.224616229743333</v>
      </c>
      <c r="J32">
        <v>142.72438734092225</v>
      </c>
      <c r="K32">
        <v>118.75514999847408</v>
      </c>
      <c r="L32">
        <v>111.58940397350995</v>
      </c>
      <c r="M32">
        <v>115.77043977172154</v>
      </c>
      <c r="N32">
        <v>68.799401837214276</v>
      </c>
      <c r="O32">
        <v>122.11828974272898</v>
      </c>
      <c r="P32">
        <v>147.54631183812984</v>
      </c>
      <c r="Q32">
        <v>97.306741538743239</v>
      </c>
      <c r="R32">
        <v>73.355815301980655</v>
      </c>
      <c r="S32">
        <v>108.806115909299</v>
      </c>
      <c r="T32">
        <v>142.85561693166906</v>
      </c>
      <c r="U32">
        <v>75.925473799859617</v>
      </c>
      <c r="V32">
        <v>51.873836481826231</v>
      </c>
      <c r="W32">
        <v>106.09912411877804</v>
      </c>
      <c r="X32">
        <v>124.51704458754234</v>
      </c>
      <c r="Y32">
        <v>94.108401745658739</v>
      </c>
      <c r="Z32">
        <v>56.457716605121007</v>
      </c>
      <c r="AA32">
        <v>69.052705465865046</v>
      </c>
      <c r="AB32">
        <v>143.23099459822384</v>
      </c>
      <c r="AC32">
        <v>102.1439252906888</v>
      </c>
      <c r="AD32">
        <v>79.056672872096925</v>
      </c>
      <c r="AE32">
        <v>143.35612048707543</v>
      </c>
      <c r="AF32">
        <v>147.33878597369306</v>
      </c>
      <c r="AG32">
        <v>148.82808923612171</v>
      </c>
      <c r="AH32">
        <v>141.90649128696555</v>
      </c>
      <c r="AI32">
        <v>106.50196844386122</v>
      </c>
      <c r="AJ32">
        <v>121.782586138493</v>
      </c>
      <c r="AK32">
        <v>77.008880886257515</v>
      </c>
      <c r="AL32">
        <v>73.306985686819061</v>
      </c>
      <c r="AM32">
        <v>52.908413953062535</v>
      </c>
      <c r="AN32">
        <v>95.268105105746628</v>
      </c>
      <c r="AO32">
        <v>114.69924008911406</v>
      </c>
      <c r="AP32">
        <v>96.922208319345685</v>
      </c>
      <c r="AQ32">
        <v>138.61964781640063</v>
      </c>
      <c r="AR32">
        <v>68.683431501205476</v>
      </c>
      <c r="AS32">
        <v>102.25074007385479</v>
      </c>
      <c r="AT32">
        <v>112.62398144474624</v>
      </c>
      <c r="AU32">
        <v>51.159703360087896</v>
      </c>
      <c r="AV32">
        <v>67.941831720938751</v>
      </c>
      <c r="AW32">
        <v>146.34998626667073</v>
      </c>
      <c r="AX32">
        <v>97.099215674306464</v>
      </c>
      <c r="AY32">
        <v>61.685537278359327</v>
      </c>
      <c r="AZ32">
        <v>121.34922330393384</v>
      </c>
      <c r="BA32">
        <v>99.043244727927487</v>
      </c>
      <c r="BB32">
        <v>96.659749137852117</v>
      </c>
      <c r="BC32">
        <v>59.494308297982727</v>
      </c>
      <c r="BD32">
        <v>110.52125614185003</v>
      </c>
      <c r="BE32">
        <v>69.077120273445843</v>
      </c>
      <c r="BF32">
        <v>117.85180211798456</v>
      </c>
      <c r="BG32">
        <v>70.224616229743333</v>
      </c>
      <c r="BH32">
        <v>50.952177495651114</v>
      </c>
      <c r="BI32">
        <v>143.40800195318462</v>
      </c>
      <c r="BJ32">
        <v>67.563402203436382</v>
      </c>
      <c r="BK32">
        <v>124.27594836268196</v>
      </c>
      <c r="BL32">
        <v>115.35233619190038</v>
      </c>
      <c r="BM32">
        <v>62.149418622394485</v>
      </c>
      <c r="BN32">
        <v>100.67598498489335</v>
      </c>
      <c r="BO32">
        <v>81.296731467635112</v>
      </c>
      <c r="BP32">
        <v>101.96691793572802</v>
      </c>
      <c r="BQ32">
        <v>148.99594103823969</v>
      </c>
      <c r="BR32">
        <v>140.93600268562884</v>
      </c>
      <c r="BS32">
        <v>135.72649311807612</v>
      </c>
      <c r="BT32">
        <v>80.481887264625996</v>
      </c>
      <c r="BU32">
        <v>85.923337504196297</v>
      </c>
      <c r="BV32">
        <v>119.15799432355723</v>
      </c>
      <c r="BW32">
        <v>114.67482528153326</v>
      </c>
      <c r="BX32">
        <v>60.794396801660206</v>
      </c>
      <c r="BY32">
        <v>119.47538682210761</v>
      </c>
      <c r="BZ32">
        <v>117.09494308297982</v>
      </c>
      <c r="CA32">
        <v>58.877834406567587</v>
      </c>
      <c r="CB32">
        <v>112.75215918454543</v>
      </c>
      <c r="CC32">
        <v>113.99121066927091</v>
      </c>
      <c r="CD32">
        <v>70.08117923520615</v>
      </c>
      <c r="CE32">
        <v>127.2362437818537</v>
      </c>
      <c r="CF32">
        <v>114.98611407818842</v>
      </c>
      <c r="CG32">
        <v>117.61070589312418</v>
      </c>
      <c r="CH32">
        <v>131.59123508407851</v>
      </c>
      <c r="CI32">
        <v>115.62089907528916</v>
      </c>
      <c r="CJ32">
        <v>60.971404156620991</v>
      </c>
      <c r="CK32">
        <v>56.573686941129793</v>
      </c>
      <c r="CL32">
        <v>52.844325083162936</v>
      </c>
      <c r="CM32">
        <v>130.57191686758017</v>
      </c>
      <c r="CN32">
        <v>100.47761467329936</v>
      </c>
      <c r="CO32">
        <v>123.46110415967284</v>
      </c>
      <c r="CP32">
        <v>80.576494644001585</v>
      </c>
      <c r="CQ32">
        <v>108.50703451643422</v>
      </c>
      <c r="CR32">
        <v>144.4181646168401</v>
      </c>
      <c r="CS32">
        <v>74.9977111117893</v>
      </c>
      <c r="CT32">
        <v>126.0856959746086</v>
      </c>
      <c r="CU32">
        <v>121.04709006012146</v>
      </c>
      <c r="CV32">
        <v>111.38187810907314</v>
      </c>
    </row>
    <row r="33" spans="1:100" x14ac:dyDescent="0.25">
      <c r="A33">
        <v>120.28412732322154</v>
      </c>
      <c r="B33">
        <v>74.369029816583762</v>
      </c>
      <c r="C33">
        <v>141.34189886165962</v>
      </c>
      <c r="D33">
        <v>102.30567339091158</v>
      </c>
      <c r="E33">
        <v>135.08865627002777</v>
      </c>
      <c r="F33">
        <v>135.75395977660452</v>
      </c>
      <c r="G33">
        <v>148.60835596789451</v>
      </c>
      <c r="H33">
        <v>79.895931882686853</v>
      </c>
      <c r="I33">
        <v>83.249916074098934</v>
      </c>
      <c r="J33">
        <v>111.16824854274117</v>
      </c>
      <c r="K33">
        <v>74.54908902249214</v>
      </c>
      <c r="L33">
        <v>109.73693044831691</v>
      </c>
      <c r="M33">
        <v>77.945799127170631</v>
      </c>
      <c r="N33">
        <v>52.746665852839747</v>
      </c>
      <c r="O33">
        <v>137.84142582476272</v>
      </c>
      <c r="P33">
        <v>60.669270912808621</v>
      </c>
      <c r="Q33">
        <v>88.084047975096894</v>
      </c>
      <c r="R33">
        <v>77.451399273659476</v>
      </c>
      <c r="S33">
        <v>66.544083986938077</v>
      </c>
      <c r="T33">
        <v>61.624500259407327</v>
      </c>
      <c r="U33">
        <v>137.48741111484117</v>
      </c>
      <c r="V33">
        <v>132.02764976958525</v>
      </c>
      <c r="W33">
        <v>115.77654347361674</v>
      </c>
      <c r="X33">
        <v>111.18961149937437</v>
      </c>
      <c r="Y33">
        <v>88.633381145664856</v>
      </c>
      <c r="Z33">
        <v>104.2588579973754</v>
      </c>
      <c r="AA33">
        <v>146.45374919888911</v>
      </c>
      <c r="AB33">
        <v>103.79497665334026</v>
      </c>
      <c r="AC33">
        <v>76.633503219702746</v>
      </c>
      <c r="AD33">
        <v>83.619190038758504</v>
      </c>
      <c r="AE33">
        <v>55.835139011810661</v>
      </c>
      <c r="AF33">
        <v>100.63936277352215</v>
      </c>
      <c r="AG33">
        <v>108.96786400952178</v>
      </c>
      <c r="AH33">
        <v>124.46211127048555</v>
      </c>
      <c r="AI33">
        <v>100.44099246192816</v>
      </c>
      <c r="AJ33">
        <v>123.43668935209205</v>
      </c>
      <c r="AK33">
        <v>96.71773430585651</v>
      </c>
      <c r="AL33">
        <v>114.88540299691763</v>
      </c>
      <c r="AM33">
        <v>101.96081423383282</v>
      </c>
      <c r="AN33">
        <v>99.153111362041074</v>
      </c>
      <c r="AO33">
        <v>132.83944212164678</v>
      </c>
      <c r="AP33">
        <v>104.37788018433179</v>
      </c>
      <c r="AQ33">
        <v>76.807458723715939</v>
      </c>
      <c r="AR33">
        <v>133.87096774193549</v>
      </c>
      <c r="AS33">
        <v>83.149204992828146</v>
      </c>
      <c r="AT33">
        <v>93.394268623920397</v>
      </c>
      <c r="AU33">
        <v>79.938657795953247</v>
      </c>
      <c r="AV33">
        <v>143.81694998016297</v>
      </c>
      <c r="AW33">
        <v>105.62913907284768</v>
      </c>
      <c r="AX33">
        <v>137.93908505508591</v>
      </c>
      <c r="AY33">
        <v>105.08590960417493</v>
      </c>
      <c r="AZ33">
        <v>108.70235297708059</v>
      </c>
      <c r="BA33">
        <v>57.104709006012143</v>
      </c>
      <c r="BB33">
        <v>143.84746848963897</v>
      </c>
      <c r="BC33">
        <v>108.6107974486526</v>
      </c>
      <c r="BD33">
        <v>126.80898464918974</v>
      </c>
      <c r="BE33">
        <v>122.38074892422254</v>
      </c>
      <c r="BF33">
        <v>72.241889706106747</v>
      </c>
      <c r="BG33">
        <v>101.74413281655323</v>
      </c>
      <c r="BH33">
        <v>59.503463850825526</v>
      </c>
      <c r="BI33">
        <v>146.8138676107059</v>
      </c>
      <c r="BJ33">
        <v>55.023346659749137</v>
      </c>
      <c r="BK33">
        <v>114.26282540360729</v>
      </c>
      <c r="BL33">
        <v>52.059999389629809</v>
      </c>
      <c r="BM33">
        <v>140.72542497024443</v>
      </c>
      <c r="BN33">
        <v>72.803430280465108</v>
      </c>
      <c r="BO33">
        <v>119.60966826380199</v>
      </c>
      <c r="BP33">
        <v>88.303781243324067</v>
      </c>
      <c r="BQ33">
        <v>90.180669576097898</v>
      </c>
      <c r="BR33">
        <v>104.73799859614857</v>
      </c>
      <c r="BS33">
        <v>118.24243903927733</v>
      </c>
      <c r="BT33">
        <v>103.03506576738792</v>
      </c>
      <c r="BU33">
        <v>132.25043488876003</v>
      </c>
      <c r="BV33">
        <v>65.262306588946188</v>
      </c>
      <c r="BW33">
        <v>139.95635853144933</v>
      </c>
      <c r="BX33">
        <v>137.59727774895475</v>
      </c>
      <c r="BY33">
        <v>100.76143681142614</v>
      </c>
      <c r="BZ33">
        <v>129.29929502243112</v>
      </c>
      <c r="CA33">
        <v>80.744346446119565</v>
      </c>
      <c r="CB33">
        <v>91.740165410321367</v>
      </c>
      <c r="CC33">
        <v>83.210242011780139</v>
      </c>
      <c r="CD33">
        <v>124.05621509445479</v>
      </c>
      <c r="CE33">
        <v>139.88311410870693</v>
      </c>
      <c r="CF33">
        <v>74.924466689046909</v>
      </c>
      <c r="CG33">
        <v>79.410687582018497</v>
      </c>
      <c r="CH33">
        <v>115.57512131107516</v>
      </c>
      <c r="CI33">
        <v>72.812585833307907</v>
      </c>
      <c r="CJ33">
        <v>110.11841181676687</v>
      </c>
      <c r="CK33">
        <v>102.53151036103395</v>
      </c>
      <c r="CL33">
        <v>68.106631672109131</v>
      </c>
      <c r="CM33">
        <v>125.49363689077425</v>
      </c>
      <c r="CN33">
        <v>93.293557542649609</v>
      </c>
      <c r="CO33">
        <v>113.14279610583819</v>
      </c>
      <c r="CP33">
        <v>104.4938505203406</v>
      </c>
      <c r="CQ33">
        <v>65.793328653828553</v>
      </c>
      <c r="CR33">
        <v>61.700796533097325</v>
      </c>
      <c r="CS33">
        <v>126.88833277382733</v>
      </c>
      <c r="CT33">
        <v>145.61143833735161</v>
      </c>
      <c r="CU33">
        <v>77.616199224829856</v>
      </c>
      <c r="CV33">
        <v>74.051637318033386</v>
      </c>
    </row>
    <row r="34" spans="1:100" x14ac:dyDescent="0.25">
      <c r="A34">
        <v>103.54167302468947</v>
      </c>
      <c r="B34">
        <v>121.8222602008118</v>
      </c>
      <c r="C34">
        <v>63.650929288613547</v>
      </c>
      <c r="D34">
        <v>72.33649708548235</v>
      </c>
      <c r="E34">
        <v>121.23935666982024</v>
      </c>
      <c r="F34">
        <v>67.181920834986414</v>
      </c>
      <c r="G34">
        <v>148.81282998138371</v>
      </c>
      <c r="H34">
        <v>103.30362865077669</v>
      </c>
      <c r="I34">
        <v>118.41639454329051</v>
      </c>
      <c r="J34">
        <v>57.184057130649741</v>
      </c>
      <c r="K34">
        <v>78.93154698324534</v>
      </c>
      <c r="L34">
        <v>78.391369365520191</v>
      </c>
      <c r="M34">
        <v>99.327066866054267</v>
      </c>
      <c r="N34">
        <v>88.300729392376468</v>
      </c>
      <c r="O34">
        <v>86.896877956480608</v>
      </c>
      <c r="P34">
        <v>82.020020142216254</v>
      </c>
      <c r="Q34">
        <v>111.55583361308635</v>
      </c>
      <c r="R34">
        <v>65.280617694631786</v>
      </c>
      <c r="S34">
        <v>65.915402691732538</v>
      </c>
      <c r="T34">
        <v>62.128055665761281</v>
      </c>
      <c r="U34">
        <v>78.507339701528977</v>
      </c>
      <c r="V34">
        <v>66.208380382702103</v>
      </c>
      <c r="W34">
        <v>86.88467055269021</v>
      </c>
      <c r="X34">
        <v>140.65828424939724</v>
      </c>
      <c r="Y34">
        <v>80.521561326944791</v>
      </c>
      <c r="Z34">
        <v>61.636707663197726</v>
      </c>
      <c r="AA34">
        <v>53.424176763206887</v>
      </c>
      <c r="AB34">
        <v>110.9027375103</v>
      </c>
      <c r="AC34">
        <v>75.244911038544871</v>
      </c>
      <c r="AD34">
        <v>115.97796563615833</v>
      </c>
      <c r="AE34">
        <v>110.23133030182805</v>
      </c>
      <c r="AF34">
        <v>74.945829645680107</v>
      </c>
      <c r="AG34">
        <v>97.886593218787198</v>
      </c>
      <c r="AH34">
        <v>149.23398541215246</v>
      </c>
      <c r="AI34">
        <v>70.395519882808927</v>
      </c>
      <c r="AJ34">
        <v>124.23322244941556</v>
      </c>
      <c r="AK34">
        <v>131.99102755821406</v>
      </c>
      <c r="AL34">
        <v>87.199011200292972</v>
      </c>
      <c r="AM34">
        <v>77.277443769646297</v>
      </c>
      <c r="AN34">
        <v>116.42353587450789</v>
      </c>
      <c r="AO34">
        <v>91.312906277657405</v>
      </c>
      <c r="AP34">
        <v>78.281502731406604</v>
      </c>
      <c r="AQ34">
        <v>66.574602496414073</v>
      </c>
      <c r="AR34">
        <v>51.696829126865445</v>
      </c>
      <c r="AS34">
        <v>103.50810266426588</v>
      </c>
      <c r="AT34">
        <v>105.02487258522294</v>
      </c>
      <c r="AU34">
        <v>144.22894985808892</v>
      </c>
      <c r="AV34">
        <v>101.56102175969725</v>
      </c>
      <c r="AW34">
        <v>136.13544114505447</v>
      </c>
      <c r="AX34">
        <v>68.497268593401898</v>
      </c>
      <c r="AY34">
        <v>86.42994476149785</v>
      </c>
      <c r="AZ34">
        <v>57.071138645588547</v>
      </c>
      <c r="BA34">
        <v>133.30027161473433</v>
      </c>
      <c r="BB34">
        <v>55.746635334330271</v>
      </c>
      <c r="BC34">
        <v>138.27173680837427</v>
      </c>
      <c r="BD34">
        <v>81.272316660054315</v>
      </c>
      <c r="BE34">
        <v>110.00244148075808</v>
      </c>
      <c r="BF34">
        <v>112.27607043671986</v>
      </c>
      <c r="BG34">
        <v>105.06454664754173</v>
      </c>
      <c r="BH34">
        <v>82.911160618915375</v>
      </c>
      <c r="BI34">
        <v>65.643787957396157</v>
      </c>
      <c r="BJ34">
        <v>63.879818109683526</v>
      </c>
      <c r="BK34">
        <v>94.083986938077942</v>
      </c>
      <c r="BL34">
        <v>86.103396710104676</v>
      </c>
      <c r="BM34">
        <v>140.02960295419172</v>
      </c>
      <c r="BN34">
        <v>104.66475417340618</v>
      </c>
      <c r="BO34">
        <v>132.448805200354</v>
      </c>
      <c r="BP34">
        <v>131.23722037415692</v>
      </c>
      <c r="BQ34">
        <v>96.812341685232099</v>
      </c>
      <c r="BR34">
        <v>139.22391430402539</v>
      </c>
      <c r="BS34">
        <v>69.705801568651395</v>
      </c>
      <c r="BT34">
        <v>129.66246528519548</v>
      </c>
      <c r="BU34">
        <v>71.897030549027988</v>
      </c>
      <c r="BV34">
        <v>99.937437055574208</v>
      </c>
      <c r="BW34">
        <v>138.45789971617785</v>
      </c>
      <c r="BX34">
        <v>144.3906979583117</v>
      </c>
      <c r="BY34">
        <v>143.90850550859096</v>
      </c>
      <c r="BZ34">
        <v>98.057496871852777</v>
      </c>
      <c r="CA34">
        <v>113.57921079134496</v>
      </c>
      <c r="CB34">
        <v>74.83596301156652</v>
      </c>
      <c r="CC34">
        <v>92.344431897946109</v>
      </c>
      <c r="CD34">
        <v>111.71147801141393</v>
      </c>
      <c r="CE34">
        <v>60.739463484603412</v>
      </c>
      <c r="CF34">
        <v>73.859370708334609</v>
      </c>
      <c r="CG34">
        <v>59.094515823847161</v>
      </c>
      <c r="CH34">
        <v>63.937803277687919</v>
      </c>
      <c r="CI34">
        <v>114.77553636280405</v>
      </c>
      <c r="CJ34">
        <v>75.095370342112489</v>
      </c>
      <c r="CK34">
        <v>78.839991454817351</v>
      </c>
      <c r="CL34">
        <v>93.900875881221964</v>
      </c>
      <c r="CM34">
        <v>78.56837672048097</v>
      </c>
      <c r="CN34">
        <v>58.798486281929989</v>
      </c>
      <c r="CO34">
        <v>94.077883236182743</v>
      </c>
      <c r="CP34">
        <v>74.365977965636162</v>
      </c>
      <c r="CQ34">
        <v>83.088167973876153</v>
      </c>
      <c r="CR34">
        <v>134.27076021607104</v>
      </c>
      <c r="CS34">
        <v>120.29938657795954</v>
      </c>
      <c r="CT34">
        <v>78.614154484694978</v>
      </c>
      <c r="CU34">
        <v>99.153111362041074</v>
      </c>
      <c r="CV34">
        <v>67.026276436658833</v>
      </c>
    </row>
    <row r="35" spans="1:100" x14ac:dyDescent="0.25">
      <c r="A35">
        <v>145.7365642262032</v>
      </c>
      <c r="B35">
        <v>93.336283455916004</v>
      </c>
      <c r="C35">
        <v>55.716116824854275</v>
      </c>
      <c r="D35">
        <v>73.664052247688218</v>
      </c>
      <c r="E35">
        <v>92.58552812280648</v>
      </c>
      <c r="F35">
        <v>103.42875453962829</v>
      </c>
      <c r="G35">
        <v>60.425122837000643</v>
      </c>
      <c r="H35">
        <v>93.845942564165171</v>
      </c>
      <c r="I35">
        <v>111.35135959959715</v>
      </c>
      <c r="J35">
        <v>62.521744438001647</v>
      </c>
      <c r="K35">
        <v>77.002777184362316</v>
      </c>
      <c r="L35">
        <v>142.41309854426709</v>
      </c>
      <c r="M35">
        <v>131.11514633625293</v>
      </c>
      <c r="N35">
        <v>125.80797753837703</v>
      </c>
      <c r="O35">
        <v>62.591937009796439</v>
      </c>
      <c r="P35">
        <v>129.82116153447066</v>
      </c>
      <c r="Q35">
        <v>124.83443708609272</v>
      </c>
      <c r="R35">
        <v>111.36661885433514</v>
      </c>
      <c r="S35">
        <v>102.05542161320841</v>
      </c>
      <c r="T35">
        <v>134.15173802911465</v>
      </c>
      <c r="U35">
        <v>110.28931546983245</v>
      </c>
      <c r="V35">
        <v>59.854426709799498</v>
      </c>
      <c r="W35">
        <v>141.4395580919828</v>
      </c>
      <c r="X35">
        <v>63.208410901211586</v>
      </c>
      <c r="Y35">
        <v>76.212347788933982</v>
      </c>
      <c r="Z35">
        <v>118.6025574510941</v>
      </c>
      <c r="AA35">
        <v>148.19025238807336</v>
      </c>
      <c r="AB35">
        <v>136.38874477370524</v>
      </c>
      <c r="AC35">
        <v>149.24924466689046</v>
      </c>
      <c r="AD35">
        <v>103.2303842280343</v>
      </c>
      <c r="AE35">
        <v>138.75087740714741</v>
      </c>
      <c r="AF35">
        <v>64.355906857509083</v>
      </c>
      <c r="AG35">
        <v>67.349772637104408</v>
      </c>
      <c r="AH35">
        <v>139.97161778618732</v>
      </c>
      <c r="AI35">
        <v>64.175847651600691</v>
      </c>
      <c r="AJ35">
        <v>54.745628223517564</v>
      </c>
      <c r="AK35">
        <v>75.25101474044007</v>
      </c>
      <c r="AL35">
        <v>141.73863948484757</v>
      </c>
      <c r="AM35">
        <v>94.373912778099907</v>
      </c>
      <c r="AN35">
        <v>121.92907498397778</v>
      </c>
      <c r="AO35">
        <v>107.63725699636831</v>
      </c>
      <c r="AP35">
        <v>121.13254188665425</v>
      </c>
      <c r="AQ35">
        <v>91.587572862941371</v>
      </c>
      <c r="AR35">
        <v>129.00326548051393</v>
      </c>
      <c r="AS35">
        <v>75.626392406994839</v>
      </c>
      <c r="AT35">
        <v>93.473616748558001</v>
      </c>
      <c r="AU35">
        <v>113.79284035767694</v>
      </c>
      <c r="AV35">
        <v>140.1760917996765</v>
      </c>
      <c r="AW35">
        <v>122.20374156926177</v>
      </c>
      <c r="AX35">
        <v>73.023163548692281</v>
      </c>
      <c r="AY35">
        <v>77.021088290047913</v>
      </c>
      <c r="AZ35">
        <v>149.89623706778161</v>
      </c>
      <c r="BA35">
        <v>141.60740989410078</v>
      </c>
      <c r="BB35">
        <v>128.80794701986756</v>
      </c>
      <c r="BC35">
        <v>50.259407330545976</v>
      </c>
      <c r="BD35">
        <v>76.523636585589159</v>
      </c>
      <c r="BE35">
        <v>56.472975859859005</v>
      </c>
      <c r="BF35">
        <v>98.558000427259145</v>
      </c>
      <c r="BG35">
        <v>102.03711050752281</v>
      </c>
      <c r="BH35">
        <v>125.79577013458663</v>
      </c>
      <c r="BI35">
        <v>131.78350169377728</v>
      </c>
      <c r="BJ35">
        <v>92.536698507644886</v>
      </c>
      <c r="BK35">
        <v>92.625202185125275</v>
      </c>
      <c r="BL35">
        <v>139.77935117648855</v>
      </c>
      <c r="BM35">
        <v>122.60658589434492</v>
      </c>
      <c r="BN35">
        <v>51.608325449385049</v>
      </c>
      <c r="BO35">
        <v>131.10599078341014</v>
      </c>
      <c r="BP35">
        <v>146.18823816644795</v>
      </c>
      <c r="BQ35">
        <v>131.02664265877254</v>
      </c>
      <c r="BR35">
        <v>63.940855128635519</v>
      </c>
      <c r="BS35">
        <v>119.83855708487198</v>
      </c>
      <c r="BT35">
        <v>87.37907040620135</v>
      </c>
      <c r="BU35">
        <v>131.56071657460251</v>
      </c>
      <c r="BV35">
        <v>51.123081148716693</v>
      </c>
      <c r="BW35">
        <v>108.54976042970061</v>
      </c>
      <c r="BX35">
        <v>120.68086794640949</v>
      </c>
      <c r="BY35">
        <v>82.767723624378192</v>
      </c>
      <c r="BZ35">
        <v>95.924253059480577</v>
      </c>
      <c r="CA35">
        <v>123.58317819757683</v>
      </c>
      <c r="CB35">
        <v>93.082979827265234</v>
      </c>
      <c r="CC35">
        <v>115.58732871486556</v>
      </c>
      <c r="CD35">
        <v>139.77324747459335</v>
      </c>
      <c r="CE35">
        <v>87.980285042878506</v>
      </c>
      <c r="CF35">
        <v>143.52092043824581</v>
      </c>
      <c r="CG35">
        <v>139.05301065095981</v>
      </c>
      <c r="CH35">
        <v>128.06634723960082</v>
      </c>
      <c r="CI35">
        <v>98.008667256691183</v>
      </c>
      <c r="CJ35">
        <v>135.77837458418531</v>
      </c>
      <c r="CK35">
        <v>54.031495101779228</v>
      </c>
      <c r="CL35">
        <v>131.48442030091252</v>
      </c>
      <c r="CM35">
        <v>71.753593554490806</v>
      </c>
      <c r="CN35">
        <v>75.214392529068874</v>
      </c>
      <c r="CO35">
        <v>115.60258796960356</v>
      </c>
      <c r="CP35">
        <v>121.39194921720024</v>
      </c>
      <c r="CQ35">
        <v>135.42130802331616</v>
      </c>
      <c r="CR35">
        <v>112.38288521988586</v>
      </c>
      <c r="CS35">
        <v>134.65224158452102</v>
      </c>
      <c r="CT35">
        <v>127.45902890102847</v>
      </c>
      <c r="CU35">
        <v>62.924588763084813</v>
      </c>
      <c r="CV35">
        <v>86.692403942991433</v>
      </c>
    </row>
    <row r="36" spans="1:100" x14ac:dyDescent="0.25">
      <c r="A36">
        <v>138.58912930692463</v>
      </c>
      <c r="B36">
        <v>111.58024842066715</v>
      </c>
      <c r="C36">
        <v>62.222663045136876</v>
      </c>
      <c r="D36">
        <v>115.46220282601398</v>
      </c>
      <c r="E36">
        <v>148.20856349375896</v>
      </c>
      <c r="F36">
        <v>98.710592974639127</v>
      </c>
      <c r="G36">
        <v>72.608111819818717</v>
      </c>
      <c r="H36">
        <v>109.78881191442611</v>
      </c>
      <c r="I36">
        <v>66.299935911130092</v>
      </c>
      <c r="J36">
        <v>108.58638264107181</v>
      </c>
      <c r="K36">
        <v>148.37336344492934</v>
      </c>
      <c r="L36">
        <v>72.78817102572711</v>
      </c>
      <c r="M36">
        <v>87.104403820917383</v>
      </c>
      <c r="N36">
        <v>74.759666737876529</v>
      </c>
      <c r="O36">
        <v>90.064699240089112</v>
      </c>
      <c r="P36">
        <v>149.13022247993408</v>
      </c>
      <c r="Q36">
        <v>87.604907376323752</v>
      </c>
      <c r="R36">
        <v>83.310953093050941</v>
      </c>
      <c r="S36">
        <v>138.32972197637866</v>
      </c>
      <c r="T36">
        <v>70.258186590166929</v>
      </c>
      <c r="U36">
        <v>63.348796044801176</v>
      </c>
      <c r="V36">
        <v>127.93816949980163</v>
      </c>
      <c r="W36">
        <v>121.12033448286385</v>
      </c>
      <c r="X36">
        <v>75.226599932859273</v>
      </c>
      <c r="Y36">
        <v>78.492080446790979</v>
      </c>
      <c r="Z36">
        <v>122.26172673726616</v>
      </c>
      <c r="AA36">
        <v>129.24130985442673</v>
      </c>
      <c r="AB36">
        <v>146.5269936216315</v>
      </c>
      <c r="AC36">
        <v>70.755638294625697</v>
      </c>
      <c r="AD36">
        <v>147.50663777581104</v>
      </c>
      <c r="AE36">
        <v>85.868404187139504</v>
      </c>
      <c r="AF36">
        <v>64.111758781701099</v>
      </c>
      <c r="AG36">
        <v>101.87231055635243</v>
      </c>
      <c r="AH36">
        <v>63.647877437665947</v>
      </c>
      <c r="AI36">
        <v>125.58824427014986</v>
      </c>
      <c r="AJ36">
        <v>130.72450941496018</v>
      </c>
      <c r="AK36">
        <v>94.163335062715532</v>
      </c>
      <c r="AL36">
        <v>62.149418622394485</v>
      </c>
      <c r="AM36">
        <v>148.66328928495133</v>
      </c>
      <c r="AN36">
        <v>71.573534348582413</v>
      </c>
      <c r="AO36">
        <v>143.90545365764336</v>
      </c>
      <c r="AP36">
        <v>88.435010834070866</v>
      </c>
      <c r="AQ36">
        <v>66.129032258064512</v>
      </c>
      <c r="AR36">
        <v>61.630603961302526</v>
      </c>
      <c r="AS36">
        <v>52.020325327311014</v>
      </c>
      <c r="AT36">
        <v>112.22724082155827</v>
      </c>
      <c r="AU36">
        <v>101.30466628009887</v>
      </c>
      <c r="AV36">
        <v>83.530686361278114</v>
      </c>
      <c r="AW36">
        <v>62.842188787499623</v>
      </c>
      <c r="AX36">
        <v>73.831904049806212</v>
      </c>
      <c r="AY36">
        <v>59.405804620502337</v>
      </c>
      <c r="AZ36">
        <v>55.648976104007076</v>
      </c>
      <c r="BA36">
        <v>134.47828608050781</v>
      </c>
      <c r="BB36">
        <v>113.24350718710897</v>
      </c>
      <c r="BC36">
        <v>127.43156224250008</v>
      </c>
      <c r="BD36">
        <v>94.676046021912299</v>
      </c>
      <c r="BE36">
        <v>129.68993194372388</v>
      </c>
      <c r="BF36">
        <v>65.936765648365736</v>
      </c>
      <c r="BG36">
        <v>128.78963591418196</v>
      </c>
      <c r="BH36">
        <v>89.057588427381205</v>
      </c>
      <c r="BI36">
        <v>120.90365306558428</v>
      </c>
      <c r="BJ36">
        <v>60.010071108127079</v>
      </c>
      <c r="BK36">
        <v>70.929593798638876</v>
      </c>
      <c r="BL36">
        <v>106.91396832178717</v>
      </c>
      <c r="BM36">
        <v>82.343516342661829</v>
      </c>
      <c r="BN36">
        <v>87.116611224707782</v>
      </c>
      <c r="BO36">
        <v>85.996581926938688</v>
      </c>
      <c r="BP36">
        <v>80.585650196844384</v>
      </c>
      <c r="BQ36">
        <v>80.692464980010371</v>
      </c>
      <c r="BR36">
        <v>106.04113895077364</v>
      </c>
      <c r="BS36">
        <v>71.103549302652056</v>
      </c>
      <c r="BT36">
        <v>148.26960051271095</v>
      </c>
      <c r="BU36">
        <v>62.753685110019227</v>
      </c>
      <c r="BV36">
        <v>142.24219489120151</v>
      </c>
      <c r="BW36">
        <v>102.27210303048798</v>
      </c>
      <c r="BX36">
        <v>74.707785271767335</v>
      </c>
      <c r="BY36">
        <v>105.80614642780847</v>
      </c>
      <c r="BZ36">
        <v>99.275185399945059</v>
      </c>
      <c r="CA36">
        <v>112.62398144474624</v>
      </c>
      <c r="CB36">
        <v>79.160435804315313</v>
      </c>
      <c r="CC36">
        <v>146.28284554582353</v>
      </c>
      <c r="CD36">
        <v>135.29313028351694</v>
      </c>
      <c r="CE36">
        <v>75.431073946348462</v>
      </c>
      <c r="CF36">
        <v>148.67854853968933</v>
      </c>
      <c r="CG36">
        <v>52.374340037232585</v>
      </c>
      <c r="CH36">
        <v>107.64946440015871</v>
      </c>
      <c r="CI36">
        <v>82.718894009216598</v>
      </c>
      <c r="CJ36">
        <v>64.868617816705836</v>
      </c>
      <c r="CK36">
        <v>56.250190740684225</v>
      </c>
      <c r="CL36">
        <v>138.86989959410383</v>
      </c>
      <c r="CM36">
        <v>59.945982238227487</v>
      </c>
      <c r="CN36">
        <v>122.28919339579456</v>
      </c>
      <c r="CO36">
        <v>111.40934476760154</v>
      </c>
      <c r="CP36">
        <v>106.96279793694876</v>
      </c>
      <c r="CQ36">
        <v>107.49687185277871</v>
      </c>
      <c r="CR36">
        <v>66.522721030304879</v>
      </c>
      <c r="CS36">
        <v>90.90395825067904</v>
      </c>
      <c r="CT36">
        <v>113.32590716269416</v>
      </c>
      <c r="CU36">
        <v>109.51414532914212</v>
      </c>
      <c r="CV36">
        <v>130.14465773491622</v>
      </c>
    </row>
    <row r="37" spans="1:100" x14ac:dyDescent="0.25">
      <c r="A37">
        <v>63.385418256172372</v>
      </c>
      <c r="B37">
        <v>69.293801690725431</v>
      </c>
      <c r="C37">
        <v>51.455732902005067</v>
      </c>
      <c r="D37">
        <v>84.55305642872402</v>
      </c>
      <c r="E37">
        <v>58.749656666768395</v>
      </c>
      <c r="F37">
        <v>128.93917661061434</v>
      </c>
      <c r="G37">
        <v>50.341807306131166</v>
      </c>
      <c r="H37">
        <v>109.31577501754815</v>
      </c>
      <c r="I37">
        <v>55.557420575579087</v>
      </c>
      <c r="J37">
        <v>119.16409802545243</v>
      </c>
      <c r="K37">
        <v>55.865657521286664</v>
      </c>
      <c r="L37">
        <v>109.65147862178412</v>
      </c>
      <c r="M37">
        <v>67.319254127628398</v>
      </c>
      <c r="N37">
        <v>55.163731803338727</v>
      </c>
      <c r="O37">
        <v>105.30259102145452</v>
      </c>
      <c r="P37">
        <v>75.147251808221682</v>
      </c>
      <c r="Q37">
        <v>71.008941923276467</v>
      </c>
      <c r="R37">
        <v>118.75820184942168</v>
      </c>
      <c r="S37">
        <v>64.981536301767022</v>
      </c>
      <c r="T37">
        <v>121.52317880794702</v>
      </c>
      <c r="U37">
        <v>125.39597766045107</v>
      </c>
      <c r="V37">
        <v>65.89709158604694</v>
      </c>
      <c r="W37">
        <v>120.18646809289835</v>
      </c>
      <c r="X37">
        <v>83.387249366740932</v>
      </c>
      <c r="Y37">
        <v>105.18967253639332</v>
      </c>
      <c r="Z37">
        <v>86.774803918576623</v>
      </c>
      <c r="AA37">
        <v>107.45414593951232</v>
      </c>
      <c r="AB37">
        <v>79.91424298837245</v>
      </c>
      <c r="AC37">
        <v>116.62190618610188</v>
      </c>
      <c r="AD37">
        <v>121.52317880794702</v>
      </c>
      <c r="AE37">
        <v>79.853205969420458</v>
      </c>
      <c r="AF37">
        <v>81.412701803643913</v>
      </c>
      <c r="AG37">
        <v>110.11230811487167</v>
      </c>
      <c r="AH37">
        <v>84.757530442213209</v>
      </c>
      <c r="AI37">
        <v>145.93188268684958</v>
      </c>
      <c r="AJ37">
        <v>55.08438367870113</v>
      </c>
      <c r="AK37">
        <v>55.61540574358348</v>
      </c>
      <c r="AL37">
        <v>102.01574755088961</v>
      </c>
      <c r="AM37">
        <v>72.882778405102698</v>
      </c>
      <c r="AN37">
        <v>117.93115024262215</v>
      </c>
      <c r="AO37">
        <v>96.305734427930531</v>
      </c>
      <c r="AP37">
        <v>111.22318185979796</v>
      </c>
      <c r="AQ37">
        <v>94.636371959593504</v>
      </c>
      <c r="AR37">
        <v>75.070955534531691</v>
      </c>
      <c r="AS37">
        <v>146.17297891170995</v>
      </c>
      <c r="AT37">
        <v>132.33893856624042</v>
      </c>
      <c r="AU37">
        <v>115.41642506179997</v>
      </c>
      <c r="AV37">
        <v>71.494186223944823</v>
      </c>
      <c r="AW37">
        <v>147.24723044526507</v>
      </c>
      <c r="AX37">
        <v>58.291879024628436</v>
      </c>
      <c r="AY37">
        <v>91.993469038972137</v>
      </c>
      <c r="AZ37">
        <v>131.28299813837091</v>
      </c>
      <c r="BA37">
        <v>100.77059236426894</v>
      </c>
      <c r="BB37">
        <v>94.633320108645904</v>
      </c>
      <c r="BC37">
        <v>62.851344340342422</v>
      </c>
      <c r="BD37">
        <v>88.416699728385268</v>
      </c>
      <c r="BE37">
        <v>132.14972380748924</v>
      </c>
      <c r="BF37">
        <v>56.414990691854612</v>
      </c>
      <c r="BG37">
        <v>116.99728385265664</v>
      </c>
      <c r="BH37">
        <v>85.831781975768308</v>
      </c>
      <c r="BI37">
        <v>125.39292580950347</v>
      </c>
      <c r="BJ37">
        <v>125.10605182042909</v>
      </c>
      <c r="BK37">
        <v>51.019318216498306</v>
      </c>
      <c r="BL37">
        <v>107.43278298287912</v>
      </c>
      <c r="BM37">
        <v>57.739494003112888</v>
      </c>
      <c r="BN37">
        <v>132.11615344706564</v>
      </c>
      <c r="BO37">
        <v>131.27384258552812</v>
      </c>
      <c r="BP37">
        <v>122.38074892422254</v>
      </c>
      <c r="BQ37">
        <v>67.072054200872827</v>
      </c>
      <c r="BR37">
        <v>77.747428815576654</v>
      </c>
      <c r="BS37">
        <v>65.115817743461406</v>
      </c>
      <c r="BT37">
        <v>133.83739738151189</v>
      </c>
      <c r="BU37">
        <v>118.16003906369212</v>
      </c>
      <c r="BV37">
        <v>94.862208929715877</v>
      </c>
      <c r="BW37">
        <v>122.36548966948455</v>
      </c>
      <c r="BX37">
        <v>77.124851222266301</v>
      </c>
      <c r="BY37">
        <v>120.71749015778069</v>
      </c>
      <c r="BZ37">
        <v>57.300027466658527</v>
      </c>
      <c r="CA37">
        <v>122.56996368297372</v>
      </c>
      <c r="CB37">
        <v>120.41840876491592</v>
      </c>
      <c r="CC37">
        <v>139.80681783501694</v>
      </c>
      <c r="CD37">
        <v>111.14078188421277</v>
      </c>
      <c r="CE37">
        <v>53.70494705038606</v>
      </c>
      <c r="CF37">
        <v>71.100497451704456</v>
      </c>
      <c r="CG37">
        <v>89.252906888027582</v>
      </c>
      <c r="CH37">
        <v>56.936857203894164</v>
      </c>
      <c r="CI37">
        <v>137.98791467024751</v>
      </c>
      <c r="CJ37">
        <v>140.92379528183844</v>
      </c>
      <c r="CK37">
        <v>148.71211890011293</v>
      </c>
      <c r="CL37">
        <v>61.06906338694418</v>
      </c>
      <c r="CM37">
        <v>110.32288583025604</v>
      </c>
      <c r="CN37">
        <v>73.053682058168278</v>
      </c>
      <c r="CO37">
        <v>94.953764458143866</v>
      </c>
      <c r="CP37">
        <v>124.29731131931516</v>
      </c>
      <c r="CQ37">
        <v>125.11825922421949</v>
      </c>
      <c r="CR37">
        <v>84.195989867854848</v>
      </c>
      <c r="CS37">
        <v>88.096255378887292</v>
      </c>
      <c r="CT37">
        <v>85.676137577440727</v>
      </c>
      <c r="CU37">
        <v>57.034516434217352</v>
      </c>
      <c r="CV37">
        <v>124.84054078798792</v>
      </c>
    </row>
    <row r="38" spans="1:100" x14ac:dyDescent="0.25">
      <c r="A38">
        <v>149.45066682943207</v>
      </c>
      <c r="B38">
        <v>135.44572283089695</v>
      </c>
      <c r="C38">
        <v>51.947080904568622</v>
      </c>
      <c r="D38">
        <v>70.322275460066521</v>
      </c>
      <c r="E38">
        <v>87.455366679891355</v>
      </c>
      <c r="F38">
        <v>141.51585436567279</v>
      </c>
      <c r="G38">
        <v>146.33167516098513</v>
      </c>
      <c r="H38">
        <v>130.86184270760216</v>
      </c>
      <c r="I38">
        <v>130.47425763725698</v>
      </c>
      <c r="J38">
        <v>71.588793603320411</v>
      </c>
      <c r="K38">
        <v>79.691457869197677</v>
      </c>
      <c r="L38">
        <v>57.071138645588547</v>
      </c>
      <c r="M38">
        <v>81.730094302194274</v>
      </c>
      <c r="N38">
        <v>101.78380687887204</v>
      </c>
      <c r="O38">
        <v>116.3289284951323</v>
      </c>
      <c r="P38">
        <v>128.2067323831904</v>
      </c>
      <c r="Q38">
        <v>137.12729270302438</v>
      </c>
      <c r="R38">
        <v>93.461409344767603</v>
      </c>
      <c r="S38">
        <v>74.927518539994509</v>
      </c>
      <c r="T38">
        <v>129.83642078920866</v>
      </c>
      <c r="U38">
        <v>64.987640003662221</v>
      </c>
      <c r="V38">
        <v>116.49067659535508</v>
      </c>
      <c r="W38">
        <v>71.323282570879229</v>
      </c>
      <c r="X38">
        <v>88.151188695944086</v>
      </c>
      <c r="Y38">
        <v>115.70940275276955</v>
      </c>
      <c r="Z38">
        <v>82.853175450910982</v>
      </c>
      <c r="AA38">
        <v>130.16602069154942</v>
      </c>
      <c r="AB38">
        <v>97.41355632190924</v>
      </c>
      <c r="AC38">
        <v>51.858577227088226</v>
      </c>
      <c r="AD38">
        <v>118.72463148899809</v>
      </c>
      <c r="AE38">
        <v>81.174657429731127</v>
      </c>
      <c r="AF38">
        <v>93.693350016785189</v>
      </c>
      <c r="AG38">
        <v>139.49247718741418</v>
      </c>
      <c r="AH38">
        <v>53.161717581713312</v>
      </c>
      <c r="AI38">
        <v>105.59862056337168</v>
      </c>
      <c r="AJ38">
        <v>78.03735465559862</v>
      </c>
      <c r="AK38">
        <v>91.145054475539411</v>
      </c>
      <c r="AL38">
        <v>51.504562517166661</v>
      </c>
      <c r="AM38">
        <v>148.47102267525253</v>
      </c>
      <c r="AN38">
        <v>142.15369121372112</v>
      </c>
      <c r="AO38">
        <v>101.28330332346567</v>
      </c>
      <c r="AP38">
        <v>71.655934324167603</v>
      </c>
      <c r="AQ38">
        <v>62.320322275460065</v>
      </c>
      <c r="AR38">
        <v>99.772637104403827</v>
      </c>
      <c r="AS38">
        <v>64.685506759849844</v>
      </c>
      <c r="AT38">
        <v>71.292764061403233</v>
      </c>
      <c r="AU38">
        <v>97.975096896267587</v>
      </c>
      <c r="AV38">
        <v>76.80440687276834</v>
      </c>
      <c r="AW38">
        <v>118.5232093264565</v>
      </c>
      <c r="AX38">
        <v>144.23810541093172</v>
      </c>
      <c r="AY38">
        <v>103.27005829035309</v>
      </c>
      <c r="AZ38">
        <v>89.973143711661123</v>
      </c>
      <c r="BA38">
        <v>111.29032258064515</v>
      </c>
      <c r="BB38">
        <v>110.82644123661001</v>
      </c>
      <c r="BC38">
        <v>148.47407452620013</v>
      </c>
      <c r="BD38">
        <v>96.644489883114119</v>
      </c>
      <c r="BE38">
        <v>109.17233802301095</v>
      </c>
      <c r="BF38">
        <v>129.31150242622152</v>
      </c>
      <c r="BG38">
        <v>59.152500991851554</v>
      </c>
      <c r="BH38">
        <v>58.56349375896481</v>
      </c>
      <c r="BI38">
        <v>64.371166112247082</v>
      </c>
      <c r="BJ38">
        <v>72.278511917477942</v>
      </c>
      <c r="BK38">
        <v>110.19775994140446</v>
      </c>
      <c r="BL38">
        <v>148.59920041505171</v>
      </c>
      <c r="BM38">
        <v>115.76128421887874</v>
      </c>
      <c r="BN38">
        <v>100.71260719626454</v>
      </c>
      <c r="BO38">
        <v>135.8943449201941</v>
      </c>
      <c r="BP38">
        <v>62.155522324289684</v>
      </c>
      <c r="BQ38">
        <v>132.23212378307443</v>
      </c>
      <c r="BR38">
        <v>92.548905911435284</v>
      </c>
      <c r="BS38">
        <v>98.564104129154344</v>
      </c>
      <c r="BT38">
        <v>73.85326700643941</v>
      </c>
      <c r="BU38">
        <v>55.236976226081119</v>
      </c>
      <c r="BV38">
        <v>77.564317758720662</v>
      </c>
      <c r="BW38">
        <v>96.43696401867733</v>
      </c>
      <c r="BX38">
        <v>76.367992187261578</v>
      </c>
      <c r="BY38">
        <v>94.6699423200171</v>
      </c>
      <c r="BZ38">
        <v>112.28827784051026</v>
      </c>
      <c r="CA38">
        <v>51.382488479262676</v>
      </c>
      <c r="CB38">
        <v>79.691457869197677</v>
      </c>
      <c r="CC38">
        <v>143.64909817804499</v>
      </c>
      <c r="CD38">
        <v>98.063600573747976</v>
      </c>
      <c r="CE38">
        <v>67.21549119541001</v>
      </c>
      <c r="CF38">
        <v>98.835718863490712</v>
      </c>
      <c r="CG38">
        <v>127.90154728843042</v>
      </c>
      <c r="CH38">
        <v>95.44816431165502</v>
      </c>
      <c r="CI38">
        <v>99.052400280770286</v>
      </c>
      <c r="CJ38">
        <v>108.12860499893185</v>
      </c>
      <c r="CK38">
        <v>55.346842860194705</v>
      </c>
      <c r="CL38">
        <v>137.96349986266671</v>
      </c>
      <c r="CM38">
        <v>124.49262977996155</v>
      </c>
      <c r="CN38">
        <v>90.260017700735489</v>
      </c>
      <c r="CO38">
        <v>81.479842524491104</v>
      </c>
      <c r="CP38">
        <v>98.429822687459946</v>
      </c>
      <c r="CQ38">
        <v>57.13522751548814</v>
      </c>
      <c r="CR38">
        <v>58.163701284829244</v>
      </c>
      <c r="CS38">
        <v>56.21051667836543</v>
      </c>
      <c r="CT38">
        <v>110.96377452925199</v>
      </c>
      <c r="CU38">
        <v>93.153172399060026</v>
      </c>
      <c r="CV38">
        <v>77.893917661061437</v>
      </c>
    </row>
    <row r="39" spans="1:100" x14ac:dyDescent="0.25">
      <c r="A39">
        <v>108.01568651387066</v>
      </c>
      <c r="B39">
        <v>63.39762565996277</v>
      </c>
      <c r="C39">
        <v>98.655659657582333</v>
      </c>
      <c r="D39">
        <v>114.00036622211371</v>
      </c>
      <c r="E39">
        <v>78.589739677114167</v>
      </c>
      <c r="F39">
        <v>81.031220435193944</v>
      </c>
      <c r="G39">
        <v>50.836207159642321</v>
      </c>
      <c r="H39">
        <v>62.707907345805232</v>
      </c>
      <c r="I39">
        <v>55.157628101443528</v>
      </c>
      <c r="J39">
        <v>67.795342875453969</v>
      </c>
      <c r="K39">
        <v>87.412640766624961</v>
      </c>
      <c r="L39">
        <v>123.50688192388684</v>
      </c>
      <c r="M39">
        <v>77.802362132633448</v>
      </c>
      <c r="N39">
        <v>134.94521927549059</v>
      </c>
      <c r="O39">
        <v>130.14465773491622</v>
      </c>
      <c r="P39">
        <v>114.54054383983886</v>
      </c>
      <c r="Q39">
        <v>91.737113559373768</v>
      </c>
      <c r="R39">
        <v>97.856074709311201</v>
      </c>
      <c r="S39">
        <v>129.81810968352306</v>
      </c>
      <c r="T39">
        <v>142.69081698049865</v>
      </c>
      <c r="U39">
        <v>148.64192632831814</v>
      </c>
      <c r="V39">
        <v>134.54847865230261</v>
      </c>
      <c r="W39">
        <v>103.2090212714011</v>
      </c>
      <c r="X39">
        <v>55.136265144810324</v>
      </c>
      <c r="Y39">
        <v>64.429151280251475</v>
      </c>
      <c r="Z39">
        <v>74.848170415356918</v>
      </c>
      <c r="AA39">
        <v>78.061769463179417</v>
      </c>
      <c r="AB39">
        <v>66.919461653492846</v>
      </c>
      <c r="AC39">
        <v>149.11801507614368</v>
      </c>
      <c r="AD39">
        <v>73.358867152928255</v>
      </c>
      <c r="AE39">
        <v>86.725974303415029</v>
      </c>
      <c r="AF39">
        <v>142.59620960112306</v>
      </c>
      <c r="AG39">
        <v>74.332407605212566</v>
      </c>
      <c r="AH39">
        <v>69.327372051149027</v>
      </c>
      <c r="AI39">
        <v>99.003570665608692</v>
      </c>
      <c r="AJ39">
        <v>60.092471083712269</v>
      </c>
      <c r="AK39">
        <v>94.203009125034328</v>
      </c>
      <c r="AL39">
        <v>86.564226203192234</v>
      </c>
      <c r="AM39">
        <v>134.92080446790979</v>
      </c>
      <c r="AN39">
        <v>134.97878963591418</v>
      </c>
      <c r="AO39">
        <v>85.145115512558363</v>
      </c>
      <c r="AP39">
        <v>76.52058473464156</v>
      </c>
      <c r="AQ39">
        <v>147.98272652363659</v>
      </c>
      <c r="AR39">
        <v>133.13241981261635</v>
      </c>
      <c r="AS39">
        <v>120.25971251564074</v>
      </c>
      <c r="AT39">
        <v>57.654042176580099</v>
      </c>
      <c r="AU39">
        <v>119.5852534562212</v>
      </c>
      <c r="AV39">
        <v>50.076296273689991</v>
      </c>
      <c r="AW39">
        <v>143.88409070101017</v>
      </c>
      <c r="AX39">
        <v>54.211554307687614</v>
      </c>
      <c r="AY39">
        <v>67.773979918820771</v>
      </c>
      <c r="AZ39">
        <v>101.72276985992004</v>
      </c>
      <c r="BA39">
        <v>131.44779808954132</v>
      </c>
      <c r="BB39">
        <v>70.569475386822106</v>
      </c>
      <c r="BC39">
        <v>149.33469649342325</v>
      </c>
      <c r="BD39">
        <v>131.6217535935545</v>
      </c>
      <c r="BE39">
        <v>58.078249458296455</v>
      </c>
      <c r="BF39">
        <v>121.58116397595141</v>
      </c>
      <c r="BG39">
        <v>63.904232917264324</v>
      </c>
      <c r="BH39">
        <v>104.03302102725303</v>
      </c>
      <c r="BI39">
        <v>135.61967833491013</v>
      </c>
      <c r="BJ39">
        <v>75.128940702536084</v>
      </c>
      <c r="BK39">
        <v>133.23007904293954</v>
      </c>
      <c r="BL39">
        <v>140.71016571550643</v>
      </c>
      <c r="BM39">
        <v>87.940610980559711</v>
      </c>
      <c r="BN39">
        <v>142.25440229499191</v>
      </c>
      <c r="BO39">
        <v>126.20777001251258</v>
      </c>
      <c r="BP39">
        <v>78.93459883419294</v>
      </c>
      <c r="BQ39">
        <v>121.19663075655384</v>
      </c>
      <c r="BR39">
        <v>100.43488876003296</v>
      </c>
      <c r="BS39">
        <v>72.537919248023925</v>
      </c>
      <c r="BT39">
        <v>93.137913144322027</v>
      </c>
      <c r="BU39">
        <v>71.536912137211218</v>
      </c>
      <c r="BV39">
        <v>112.95968504898221</v>
      </c>
      <c r="BW39">
        <v>117.17734305856501</v>
      </c>
      <c r="BX39">
        <v>94.010742515335551</v>
      </c>
      <c r="BY39">
        <v>120.19867549668875</v>
      </c>
      <c r="BZ39">
        <v>146.12109744560075</v>
      </c>
      <c r="CA39">
        <v>81.22959074678792</v>
      </c>
      <c r="CB39">
        <v>108.32392345957822</v>
      </c>
      <c r="CC39">
        <v>66.626483962523267</v>
      </c>
      <c r="CD39">
        <v>112.37678151799066</v>
      </c>
      <c r="CE39">
        <v>144.93697927793207</v>
      </c>
      <c r="CF39">
        <v>92.490920743430891</v>
      </c>
      <c r="CG39">
        <v>100.20599993896299</v>
      </c>
      <c r="CH39">
        <v>117.65037995544297</v>
      </c>
      <c r="CI39">
        <v>118.31263161107212</v>
      </c>
      <c r="CJ39">
        <v>83.091219824823753</v>
      </c>
      <c r="CK39">
        <v>61.258278145695364</v>
      </c>
      <c r="CL39">
        <v>140.82003234962002</v>
      </c>
      <c r="CM39">
        <v>115.1661732840968</v>
      </c>
      <c r="CN39">
        <v>137.38975188451798</v>
      </c>
      <c r="CO39">
        <v>131.93914609210486</v>
      </c>
      <c r="CP39">
        <v>123.57707449568163</v>
      </c>
      <c r="CQ39">
        <v>96.012756736960966</v>
      </c>
      <c r="CR39">
        <v>67.056794946134829</v>
      </c>
      <c r="CS39">
        <v>147.59514145329143</v>
      </c>
      <c r="CT39">
        <v>98.762474440748321</v>
      </c>
      <c r="CU39">
        <v>95.582445753349404</v>
      </c>
      <c r="CV39">
        <v>118.15088351084933</v>
      </c>
    </row>
    <row r="40" spans="1:100" x14ac:dyDescent="0.25">
      <c r="A40">
        <v>55.154576250495928</v>
      </c>
      <c r="B40">
        <v>85.007782219916379</v>
      </c>
      <c r="C40">
        <v>61.999877925962096</v>
      </c>
      <c r="D40">
        <v>87.556077761162143</v>
      </c>
      <c r="E40">
        <v>122.69814142277291</v>
      </c>
      <c r="F40">
        <v>87.681203650013742</v>
      </c>
      <c r="G40">
        <v>114.0766624958037</v>
      </c>
      <c r="H40">
        <v>123.14065981017487</v>
      </c>
      <c r="I40">
        <v>124.33088167973875</v>
      </c>
      <c r="J40">
        <v>106.27002777184362</v>
      </c>
      <c r="K40">
        <v>141.95226905117954</v>
      </c>
      <c r="L40">
        <v>126.28711813715017</v>
      </c>
      <c r="M40">
        <v>141.476180303354</v>
      </c>
      <c r="N40">
        <v>114.33912167729729</v>
      </c>
      <c r="O40">
        <v>121.47129734183783</v>
      </c>
      <c r="P40">
        <v>129.87914670247505</v>
      </c>
      <c r="Q40">
        <v>144.28388317514572</v>
      </c>
      <c r="R40">
        <v>145.03158665730766</v>
      </c>
      <c r="S40">
        <v>72.385326700643944</v>
      </c>
      <c r="T40">
        <v>67.084261604663226</v>
      </c>
      <c r="U40">
        <v>105.95873897518845</v>
      </c>
      <c r="V40">
        <v>110.61891537217322</v>
      </c>
      <c r="W40">
        <v>112.24250007629627</v>
      </c>
      <c r="X40">
        <v>72.244941557054347</v>
      </c>
      <c r="Y40">
        <v>112.59346293527024</v>
      </c>
      <c r="Z40">
        <v>135.51286355174415</v>
      </c>
      <c r="AA40">
        <v>69.800408948026984</v>
      </c>
      <c r="AB40">
        <v>103.05948057496872</v>
      </c>
      <c r="AC40">
        <v>109.10214545121616</v>
      </c>
      <c r="AD40">
        <v>80.884731589709162</v>
      </c>
      <c r="AE40">
        <v>123.68694112979523</v>
      </c>
      <c r="AF40">
        <v>87.174596392712175</v>
      </c>
      <c r="AG40">
        <v>71.96722312082278</v>
      </c>
      <c r="AH40">
        <v>89.036225470748008</v>
      </c>
      <c r="AI40">
        <v>81.843012787255475</v>
      </c>
      <c r="AJ40">
        <v>146.32557145908993</v>
      </c>
      <c r="AK40">
        <v>149.32554094058045</v>
      </c>
      <c r="AL40">
        <v>125.56688131351665</v>
      </c>
      <c r="AM40">
        <v>67.429120761741999</v>
      </c>
      <c r="AN40">
        <v>101.11850337229529</v>
      </c>
      <c r="AO40">
        <v>59.073152867213963</v>
      </c>
      <c r="AP40">
        <v>147.56767479476304</v>
      </c>
      <c r="AQ40">
        <v>126.79372539445174</v>
      </c>
      <c r="AR40">
        <v>109.63621936704612</v>
      </c>
      <c r="AS40">
        <v>85.61510055848872</v>
      </c>
      <c r="AT40">
        <v>75.89800714133122</v>
      </c>
      <c r="AU40">
        <v>125.13351847895748</v>
      </c>
      <c r="AV40">
        <v>142.92580950346385</v>
      </c>
      <c r="AW40">
        <v>65.860469374675745</v>
      </c>
      <c r="AX40">
        <v>99.696340830713822</v>
      </c>
      <c r="AY40">
        <v>69.321268349253828</v>
      </c>
      <c r="AZ40">
        <v>135.30533768730734</v>
      </c>
      <c r="BA40">
        <v>100.51118503372295</v>
      </c>
      <c r="BB40">
        <v>100.52949613940855</v>
      </c>
      <c r="BC40">
        <v>108.22626422925504</v>
      </c>
      <c r="BD40">
        <v>127.86187322611163</v>
      </c>
      <c r="BE40">
        <v>92.872402111880859</v>
      </c>
      <c r="BF40">
        <v>119.78972746971039</v>
      </c>
      <c r="BG40">
        <v>142.08960234382153</v>
      </c>
      <c r="BH40">
        <v>109.35850093081454</v>
      </c>
      <c r="BI40">
        <v>125.12436292611469</v>
      </c>
      <c r="BJ40">
        <v>114.88845484786523</v>
      </c>
      <c r="BK40">
        <v>115.03189184240242</v>
      </c>
      <c r="BL40">
        <v>114.45509201330607</v>
      </c>
      <c r="BM40">
        <v>142.15674306466872</v>
      </c>
      <c r="BN40">
        <v>54.525894955290383</v>
      </c>
      <c r="BO40">
        <v>60.831019013031401</v>
      </c>
      <c r="BP40">
        <v>72.147282326731158</v>
      </c>
      <c r="BQ40">
        <v>116.00848414563433</v>
      </c>
      <c r="BR40">
        <v>95.481734672078616</v>
      </c>
      <c r="BS40">
        <v>140.47517319254126</v>
      </c>
      <c r="BT40">
        <v>55.587939085055083</v>
      </c>
      <c r="BU40">
        <v>108.93124179815058</v>
      </c>
      <c r="BV40">
        <v>55.935850093081456</v>
      </c>
      <c r="BW40">
        <v>134.60341196935943</v>
      </c>
      <c r="BX40">
        <v>67.236854152043207</v>
      </c>
      <c r="BY40">
        <v>130.3704947050386</v>
      </c>
      <c r="BZ40">
        <v>107.01467940305795</v>
      </c>
      <c r="CA40">
        <v>81.455427716910307</v>
      </c>
      <c r="CB40">
        <v>87.531662953581346</v>
      </c>
      <c r="CC40">
        <v>103.53556932279427</v>
      </c>
      <c r="CD40">
        <v>135.58305612353894</v>
      </c>
      <c r="CE40">
        <v>100.97201452681051</v>
      </c>
      <c r="CF40">
        <v>65.103610339671008</v>
      </c>
      <c r="CG40">
        <v>107.16727195043794</v>
      </c>
      <c r="CH40">
        <v>81.449324015015108</v>
      </c>
      <c r="CI40">
        <v>95.619067964720614</v>
      </c>
      <c r="CJ40">
        <v>76.783043916135142</v>
      </c>
      <c r="CK40">
        <v>108.10419019135105</v>
      </c>
      <c r="CL40">
        <v>102.1561326944792</v>
      </c>
      <c r="CM40">
        <v>68.622394482253483</v>
      </c>
      <c r="CN40">
        <v>135.40604876857816</v>
      </c>
      <c r="CO40">
        <v>50.314340647602769</v>
      </c>
      <c r="CP40">
        <v>68.372142704550313</v>
      </c>
      <c r="CQ40">
        <v>50.201422162541583</v>
      </c>
      <c r="CR40">
        <v>73.609118930631425</v>
      </c>
      <c r="CS40">
        <v>116.00238044373913</v>
      </c>
      <c r="CT40">
        <v>143.12723166600543</v>
      </c>
      <c r="CU40">
        <v>72.425000762962739</v>
      </c>
      <c r="CV40">
        <v>81.748405407879886</v>
      </c>
    </row>
    <row r="41" spans="1:100" x14ac:dyDescent="0.25">
      <c r="A41">
        <v>145.49241615039523</v>
      </c>
      <c r="B41">
        <v>50.540177617725149</v>
      </c>
      <c r="C41">
        <v>105.10116885891293</v>
      </c>
      <c r="D41">
        <v>91.218298898281802</v>
      </c>
      <c r="E41">
        <v>56.683553575243387</v>
      </c>
      <c r="F41">
        <v>119.25260170293282</v>
      </c>
      <c r="G41">
        <v>113.39915158543656</v>
      </c>
      <c r="H41">
        <v>59.186071352275157</v>
      </c>
      <c r="I41">
        <v>65.802484206671352</v>
      </c>
      <c r="J41">
        <v>78.022095400860621</v>
      </c>
      <c r="K41">
        <v>103.11441389202551</v>
      </c>
      <c r="L41">
        <v>118.71242408520769</v>
      </c>
      <c r="M41">
        <v>120.91586046937468</v>
      </c>
      <c r="N41">
        <v>52.429273354289379</v>
      </c>
      <c r="O41">
        <v>138.18933683278908</v>
      </c>
      <c r="P41">
        <v>105.96789452803125</v>
      </c>
      <c r="Q41">
        <v>79.575487533188877</v>
      </c>
      <c r="R41">
        <v>121.61778618732261</v>
      </c>
      <c r="S41">
        <v>75.791192358165233</v>
      </c>
      <c r="T41">
        <v>115.68803979613635</v>
      </c>
      <c r="U41">
        <v>108.8000122074038</v>
      </c>
      <c r="V41">
        <v>80.875576036866363</v>
      </c>
      <c r="W41">
        <v>91.010773033845027</v>
      </c>
      <c r="X41">
        <v>89.661854915005961</v>
      </c>
      <c r="Y41">
        <v>132.08563493758965</v>
      </c>
      <c r="Z41">
        <v>63.080233161412394</v>
      </c>
      <c r="AA41">
        <v>125.13962218085268</v>
      </c>
      <c r="AB41">
        <v>134.33179723502303</v>
      </c>
      <c r="AC41">
        <v>89.152195806756794</v>
      </c>
      <c r="AD41">
        <v>121.96874904629658</v>
      </c>
      <c r="AE41">
        <v>148.24213385418255</v>
      </c>
      <c r="AF41">
        <v>95.597705008087402</v>
      </c>
      <c r="AG41">
        <v>123.98602252265999</v>
      </c>
      <c r="AH41">
        <v>130.52003540147098</v>
      </c>
      <c r="AI41">
        <v>76.60298471022675</v>
      </c>
      <c r="AJ41">
        <v>68.991668446913053</v>
      </c>
      <c r="AK41">
        <v>66.834009826960056</v>
      </c>
      <c r="AL41">
        <v>97.444074831385237</v>
      </c>
      <c r="AM41">
        <v>135.67766350291453</v>
      </c>
      <c r="AN41">
        <v>73.322244941557059</v>
      </c>
      <c r="AO41">
        <v>125.77440717795344</v>
      </c>
      <c r="AP41">
        <v>55.023346659749137</v>
      </c>
      <c r="AQ41">
        <v>109.16928617206335</v>
      </c>
      <c r="AR41">
        <v>65.921506393627737</v>
      </c>
      <c r="AS41">
        <v>53.463850825525682</v>
      </c>
      <c r="AT41">
        <v>121.29428998687705</v>
      </c>
      <c r="AU41">
        <v>64.877773369548635</v>
      </c>
      <c r="AV41">
        <v>127.62382885219886</v>
      </c>
      <c r="AW41">
        <v>104.73494674520097</v>
      </c>
      <c r="AX41">
        <v>89.823603015228741</v>
      </c>
      <c r="AY41">
        <v>124.37971129490035</v>
      </c>
      <c r="AZ41">
        <v>147.91558580278939</v>
      </c>
      <c r="BA41">
        <v>83.344523453474537</v>
      </c>
      <c r="BB41">
        <v>128.02667317728202</v>
      </c>
      <c r="BC41">
        <v>83.793145542771697</v>
      </c>
      <c r="BD41">
        <v>68.875698110904267</v>
      </c>
      <c r="BE41">
        <v>141.00009155552843</v>
      </c>
      <c r="BF41">
        <v>138.95840327158422</v>
      </c>
      <c r="BG41">
        <v>62.784203619495223</v>
      </c>
      <c r="BH41">
        <v>106.11743522446363</v>
      </c>
      <c r="BI41">
        <v>77.927488021485033</v>
      </c>
      <c r="BJ41">
        <v>68.344676046021917</v>
      </c>
      <c r="BK41">
        <v>95.698416089358204</v>
      </c>
      <c r="BL41">
        <v>119.33194982757041</v>
      </c>
      <c r="BM41">
        <v>76.816614276558738</v>
      </c>
      <c r="BN41">
        <v>132.83028656880398</v>
      </c>
      <c r="BO41">
        <v>88.523514511551255</v>
      </c>
      <c r="BP41">
        <v>72.833948789941104</v>
      </c>
      <c r="BQ41">
        <v>147.903378398999</v>
      </c>
      <c r="BR41">
        <v>142.17810602130191</v>
      </c>
      <c r="BS41">
        <v>140.53315836054566</v>
      </c>
      <c r="BT41">
        <v>133.12631611072115</v>
      </c>
      <c r="BU41">
        <v>148.76400036622212</v>
      </c>
      <c r="BV41">
        <v>102.41248817407757</v>
      </c>
      <c r="BW41">
        <v>147.35709707937866</v>
      </c>
      <c r="BX41">
        <v>122.12744529557177</v>
      </c>
      <c r="BY41">
        <v>137.10898159733878</v>
      </c>
      <c r="BZ41">
        <v>119.93926816614277</v>
      </c>
      <c r="CA41">
        <v>101.16733298745689</v>
      </c>
      <c r="CB41">
        <v>79.215369121372106</v>
      </c>
      <c r="CC41">
        <v>97.21823786126285</v>
      </c>
      <c r="CD41">
        <v>84.75447859126561</v>
      </c>
      <c r="CE41">
        <v>53.506576738792077</v>
      </c>
      <c r="CF41">
        <v>135.14664143803216</v>
      </c>
      <c r="CG41">
        <v>130.61769463179417</v>
      </c>
      <c r="CH41">
        <v>60.889004181035801</v>
      </c>
      <c r="CI41">
        <v>56.482131412701804</v>
      </c>
      <c r="CJ41">
        <v>51.034577471236304</v>
      </c>
      <c r="CK41">
        <v>51.641895809808652</v>
      </c>
      <c r="CL41">
        <v>62.19519638660848</v>
      </c>
      <c r="CM41">
        <v>147.872859889523</v>
      </c>
      <c r="CN41">
        <v>125.51805169835505</v>
      </c>
      <c r="CO41">
        <v>78.540910061952573</v>
      </c>
      <c r="CP41">
        <v>141.62572099978638</v>
      </c>
      <c r="CQ41">
        <v>95.823541978209789</v>
      </c>
      <c r="CR41">
        <v>123.14371166112247</v>
      </c>
      <c r="CS41">
        <v>60.647907956175416</v>
      </c>
      <c r="CT41">
        <v>72.098452711569564</v>
      </c>
      <c r="CU41">
        <v>68.726157414471885</v>
      </c>
      <c r="CV41">
        <v>127.2545548875393</v>
      </c>
    </row>
    <row r="42" spans="1:100" x14ac:dyDescent="0.25">
      <c r="A42">
        <v>97.926267281105993</v>
      </c>
      <c r="B42">
        <v>95.570238349559006</v>
      </c>
      <c r="C42">
        <v>50.607318338572341</v>
      </c>
      <c r="D42">
        <v>50.137333292641991</v>
      </c>
      <c r="E42">
        <v>81.983397930845058</v>
      </c>
      <c r="F42">
        <v>72.034363841669972</v>
      </c>
      <c r="G42">
        <v>64.392529068880279</v>
      </c>
      <c r="H42">
        <v>91.917172765282146</v>
      </c>
      <c r="I42">
        <v>69.144260994293035</v>
      </c>
      <c r="J42">
        <v>87.318033387249358</v>
      </c>
      <c r="K42">
        <v>145.48936429944763</v>
      </c>
      <c r="L42">
        <v>96.134830774864952</v>
      </c>
      <c r="M42">
        <v>129.03988769188513</v>
      </c>
      <c r="N42">
        <v>144.86983855708488</v>
      </c>
      <c r="O42">
        <v>96.473586230048525</v>
      </c>
      <c r="P42">
        <v>66.214484084597302</v>
      </c>
      <c r="Q42">
        <v>67.853328043458362</v>
      </c>
      <c r="R42">
        <v>126.77541428876614</v>
      </c>
      <c r="S42">
        <v>119.18851283303323</v>
      </c>
      <c r="T42">
        <v>102.36060670796837</v>
      </c>
      <c r="U42">
        <v>117.83654286324656</v>
      </c>
      <c r="V42">
        <v>87.711722159489739</v>
      </c>
      <c r="W42">
        <v>145.34592730491045</v>
      </c>
      <c r="X42">
        <v>72.177800836207155</v>
      </c>
      <c r="Y42">
        <v>137.93603320413831</v>
      </c>
      <c r="Z42">
        <v>115.51408429212317</v>
      </c>
      <c r="AA42">
        <v>67.355876338999607</v>
      </c>
      <c r="AB42">
        <v>80.70162053285317</v>
      </c>
      <c r="AC42">
        <v>116.22516556291392</v>
      </c>
      <c r="AD42">
        <v>86.451307718131048</v>
      </c>
      <c r="AE42">
        <v>84.980315561387982</v>
      </c>
      <c r="AF42">
        <v>92.967009491256448</v>
      </c>
      <c r="AG42">
        <v>114.67482528153326</v>
      </c>
      <c r="AH42">
        <v>93.366801965392</v>
      </c>
      <c r="AI42">
        <v>133.40708639790034</v>
      </c>
      <c r="AJ42">
        <v>112.24555192724387</v>
      </c>
      <c r="AK42">
        <v>146.96035645619068</v>
      </c>
      <c r="AL42">
        <v>74.790185247352525</v>
      </c>
      <c r="AM42">
        <v>108.41242713705863</v>
      </c>
      <c r="AN42">
        <v>67.069002349925228</v>
      </c>
      <c r="AO42">
        <v>129.86693929868466</v>
      </c>
      <c r="AP42">
        <v>123.16507461775566</v>
      </c>
      <c r="AQ42">
        <v>54.220709860530413</v>
      </c>
      <c r="AR42">
        <v>110.17639698477126</v>
      </c>
      <c r="AS42">
        <v>99.006622516556291</v>
      </c>
      <c r="AT42">
        <v>100.27008880886258</v>
      </c>
      <c r="AU42">
        <v>129.67467268898588</v>
      </c>
      <c r="AV42">
        <v>82.459486678670615</v>
      </c>
      <c r="AW42">
        <v>129.36948759422592</v>
      </c>
      <c r="AX42">
        <v>138.0275887325663</v>
      </c>
      <c r="AY42">
        <v>132.38166447950681</v>
      </c>
      <c r="AZ42">
        <v>147.10989715262309</v>
      </c>
      <c r="BA42">
        <v>145.94409009063997</v>
      </c>
      <c r="BB42">
        <v>70.340586565752119</v>
      </c>
      <c r="BC42">
        <v>134.57594531083103</v>
      </c>
      <c r="BD42">
        <v>79.151280251472514</v>
      </c>
      <c r="BE42">
        <v>134.92690816980499</v>
      </c>
      <c r="BF42">
        <v>145.12314218573567</v>
      </c>
      <c r="BG42">
        <v>93.839838862269971</v>
      </c>
      <c r="BH42">
        <v>124.17828913235877</v>
      </c>
      <c r="BI42">
        <v>110.46937467574084</v>
      </c>
      <c r="BJ42">
        <v>149.34080019531845</v>
      </c>
      <c r="BK42">
        <v>100.56917020172735</v>
      </c>
      <c r="BL42">
        <v>110.10010071108127</v>
      </c>
      <c r="BM42">
        <v>141.60435804315318</v>
      </c>
      <c r="BN42">
        <v>67.545091097750785</v>
      </c>
      <c r="BO42">
        <v>76.160466322824789</v>
      </c>
      <c r="BP42">
        <v>97.563097018341637</v>
      </c>
      <c r="BQ42">
        <v>121.84362315744499</v>
      </c>
      <c r="BR42">
        <v>142.87697988830226</v>
      </c>
      <c r="BS42">
        <v>70.172734763634139</v>
      </c>
      <c r="BT42">
        <v>51.034577471236304</v>
      </c>
      <c r="BU42">
        <v>68.372142704550313</v>
      </c>
      <c r="BV42">
        <v>142.00109866634114</v>
      </c>
      <c r="BW42">
        <v>77.945799127170631</v>
      </c>
      <c r="BX42">
        <v>148.40693380535293</v>
      </c>
      <c r="BY42">
        <v>105.78783532212287</v>
      </c>
      <c r="BZ42">
        <v>66.373180333872497</v>
      </c>
      <c r="CA42">
        <v>119.38993499557482</v>
      </c>
      <c r="CB42">
        <v>107.15506454664754</v>
      </c>
      <c r="CC42">
        <v>100.04730368968779</v>
      </c>
      <c r="CD42">
        <v>112.88949247718742</v>
      </c>
      <c r="CE42">
        <v>69.492172002319407</v>
      </c>
      <c r="CF42">
        <v>55.273598437452314</v>
      </c>
      <c r="CG42">
        <v>58.246101260414441</v>
      </c>
      <c r="CH42">
        <v>137.07235938596759</v>
      </c>
      <c r="CI42">
        <v>81.260109256263917</v>
      </c>
      <c r="CJ42">
        <v>125.0236518448439</v>
      </c>
      <c r="CK42">
        <v>59.823908200323494</v>
      </c>
      <c r="CL42">
        <v>121.94738608966338</v>
      </c>
      <c r="CM42">
        <v>91.615039521469768</v>
      </c>
      <c r="CN42">
        <v>97.669911801507624</v>
      </c>
      <c r="CO42">
        <v>134.850611896115</v>
      </c>
      <c r="CP42">
        <v>105.67186498611409</v>
      </c>
      <c r="CQ42">
        <v>50.958281197546313</v>
      </c>
      <c r="CR42">
        <v>77.33542893765069</v>
      </c>
      <c r="CS42">
        <v>54.99588000122074</v>
      </c>
      <c r="CT42">
        <v>71.118808557390054</v>
      </c>
      <c r="CU42">
        <v>66.977446821497239</v>
      </c>
      <c r="CV42">
        <v>122.05420087282937</v>
      </c>
    </row>
    <row r="43" spans="1:100" x14ac:dyDescent="0.25">
      <c r="A43">
        <v>118.35535752433852</v>
      </c>
      <c r="B43">
        <v>145.15366069521167</v>
      </c>
      <c r="C43">
        <v>51.397747734000674</v>
      </c>
      <c r="D43">
        <v>52.764976958525345</v>
      </c>
      <c r="E43">
        <v>98.268074587237152</v>
      </c>
      <c r="F43">
        <v>133.21787163914914</v>
      </c>
      <c r="G43">
        <v>103.2029175695059</v>
      </c>
      <c r="H43">
        <v>51.098666341135896</v>
      </c>
      <c r="I43">
        <v>136.7366557817316</v>
      </c>
      <c r="J43">
        <v>133.21787163914914</v>
      </c>
      <c r="K43">
        <v>109.53245643482772</v>
      </c>
      <c r="L43">
        <v>55.517746513260292</v>
      </c>
      <c r="M43">
        <v>126.1009552293466</v>
      </c>
      <c r="N43">
        <v>138.68373668630022</v>
      </c>
      <c r="O43">
        <v>128.11517685476241</v>
      </c>
      <c r="P43">
        <v>127.84661397137363</v>
      </c>
      <c r="Q43">
        <v>125.87511825922422</v>
      </c>
      <c r="R43">
        <v>86.167485580004268</v>
      </c>
      <c r="S43">
        <v>54.022339548936429</v>
      </c>
      <c r="T43">
        <v>118.65443891720329</v>
      </c>
      <c r="U43">
        <v>126.95852534562212</v>
      </c>
      <c r="V43">
        <v>125.09079256569109</v>
      </c>
      <c r="W43">
        <v>122.66151921140171</v>
      </c>
      <c r="X43">
        <v>120.80294198431348</v>
      </c>
      <c r="Y43">
        <v>103.56303598132267</v>
      </c>
      <c r="Z43">
        <v>124.46516312143315</v>
      </c>
      <c r="AA43">
        <v>102.01574755088961</v>
      </c>
      <c r="AB43">
        <v>55.182042909024325</v>
      </c>
      <c r="AC43">
        <v>68.439283425397505</v>
      </c>
      <c r="AD43">
        <v>69.711905270546595</v>
      </c>
      <c r="AE43">
        <v>114.78469191564685</v>
      </c>
      <c r="AF43">
        <v>66.834009826960056</v>
      </c>
      <c r="AG43">
        <v>97.071749015778067</v>
      </c>
      <c r="AH43">
        <v>52.603228858302558</v>
      </c>
      <c r="AI43">
        <v>81.019013031403546</v>
      </c>
      <c r="AJ43">
        <v>59.524826807458723</v>
      </c>
      <c r="AK43">
        <v>136.42231513412884</v>
      </c>
      <c r="AL43">
        <v>107.50602740562151</v>
      </c>
      <c r="AM43">
        <v>121.89550462355419</v>
      </c>
      <c r="AN43">
        <v>146.92678609576708</v>
      </c>
      <c r="AO43">
        <v>63.870662556840728</v>
      </c>
      <c r="AP43">
        <v>97.029023102511673</v>
      </c>
      <c r="AQ43">
        <v>115.23941770683919</v>
      </c>
      <c r="AR43">
        <v>148.52900784325692</v>
      </c>
      <c r="AS43">
        <v>112.0044557023835</v>
      </c>
      <c r="AT43">
        <v>100.23957029938659</v>
      </c>
      <c r="AU43">
        <v>143.44767601550342</v>
      </c>
      <c r="AV43">
        <v>108.41547898800623</v>
      </c>
      <c r="AW43">
        <v>124.81307412945952</v>
      </c>
      <c r="AX43">
        <v>106.50196844386122</v>
      </c>
      <c r="AY43">
        <v>52.850428785058135</v>
      </c>
      <c r="AZ43">
        <v>50.466933194982758</v>
      </c>
      <c r="BA43">
        <v>103.3494064149907</v>
      </c>
      <c r="BB43">
        <v>110.19470809045686</v>
      </c>
      <c r="BC43">
        <v>135.15274513992736</v>
      </c>
      <c r="BD43">
        <v>147.97357097079379</v>
      </c>
      <c r="BE43">
        <v>123.924985503708</v>
      </c>
      <c r="BF43">
        <v>70.355845820490117</v>
      </c>
      <c r="BG43">
        <v>105.60167241431928</v>
      </c>
      <c r="BH43">
        <v>134.00830103457747</v>
      </c>
      <c r="BI43">
        <v>123.07962279122287</v>
      </c>
      <c r="BJ43">
        <v>52.86568803979614</v>
      </c>
      <c r="BK43">
        <v>62.881862849818418</v>
      </c>
      <c r="BL43">
        <v>113.55784783471177</v>
      </c>
      <c r="BM43">
        <v>132.79671620838039</v>
      </c>
      <c r="BN43">
        <v>70.996734519486068</v>
      </c>
      <c r="BO43">
        <v>89.481795709097568</v>
      </c>
      <c r="BP43">
        <v>122.20679342020937</v>
      </c>
      <c r="BQ43">
        <v>147.14957121494189</v>
      </c>
      <c r="BR43">
        <v>90.049439985351114</v>
      </c>
      <c r="BS43">
        <v>96.980193487350078</v>
      </c>
      <c r="BT43">
        <v>52.819910275582139</v>
      </c>
      <c r="BU43">
        <v>54.770043031098361</v>
      </c>
      <c r="BV43">
        <v>92.399365215002902</v>
      </c>
      <c r="BW43">
        <v>143.37748344370863</v>
      </c>
      <c r="BX43">
        <v>66.010010071108127</v>
      </c>
      <c r="BY43">
        <v>119.99420148319956</v>
      </c>
      <c r="BZ43">
        <v>96.644489883114119</v>
      </c>
      <c r="CA43">
        <v>88.148136844996486</v>
      </c>
      <c r="CB43">
        <v>87.491988891262551</v>
      </c>
      <c r="CC43">
        <v>103.1907101657155</v>
      </c>
      <c r="CD43">
        <v>58.996856593523972</v>
      </c>
      <c r="CE43">
        <v>100.60579241309856</v>
      </c>
      <c r="CF43">
        <v>145.52598651081883</v>
      </c>
      <c r="CG43">
        <v>61.059907834101381</v>
      </c>
      <c r="CH43">
        <v>135.00625629444258</v>
      </c>
      <c r="CI43">
        <v>87.195959349345372</v>
      </c>
      <c r="CJ43">
        <v>51.464888454847866</v>
      </c>
      <c r="CK43">
        <v>117.37876522110659</v>
      </c>
      <c r="CL43">
        <v>129.76622821741387</v>
      </c>
      <c r="CM43">
        <v>53.390606402783291</v>
      </c>
      <c r="CN43">
        <v>76.654866176335943</v>
      </c>
      <c r="CO43">
        <v>144.89120151371807</v>
      </c>
      <c r="CP43">
        <v>114.72670674764245</v>
      </c>
      <c r="CQ43">
        <v>65.747550889614558</v>
      </c>
      <c r="CR43">
        <v>128.69808038575394</v>
      </c>
      <c r="CS43">
        <v>148.97762993255409</v>
      </c>
      <c r="CT43">
        <v>139.22696615497298</v>
      </c>
      <c r="CU43">
        <v>129.81200598162786</v>
      </c>
      <c r="CV43">
        <v>80.262153996398808</v>
      </c>
    </row>
    <row r="44" spans="1:100" x14ac:dyDescent="0.25">
      <c r="A44">
        <v>124.39497054963834</v>
      </c>
      <c r="B44">
        <v>64.978484450819423</v>
      </c>
      <c r="C44">
        <v>60.971404156620991</v>
      </c>
      <c r="D44">
        <v>68.143253883480327</v>
      </c>
      <c r="E44">
        <v>66.010010071108127</v>
      </c>
      <c r="F44">
        <v>149.78637043366803</v>
      </c>
      <c r="G44">
        <v>109.8437452314829</v>
      </c>
      <c r="H44">
        <v>115.00442518387402</v>
      </c>
      <c r="I44">
        <v>135.06118961149937</v>
      </c>
      <c r="J44">
        <v>143.618579668569</v>
      </c>
      <c r="K44">
        <v>135.74480422376172</v>
      </c>
      <c r="L44">
        <v>84.046449171422466</v>
      </c>
      <c r="M44">
        <v>80.860316782128365</v>
      </c>
      <c r="N44">
        <v>67.914365062410354</v>
      </c>
      <c r="O44">
        <v>116.2099063081759</v>
      </c>
      <c r="P44">
        <v>67.123935666982021</v>
      </c>
      <c r="Q44">
        <v>104.47859126560257</v>
      </c>
      <c r="R44">
        <v>139.65727713858456</v>
      </c>
      <c r="S44">
        <v>89.814447462385942</v>
      </c>
      <c r="T44">
        <v>130.02563554795984</v>
      </c>
      <c r="U44">
        <v>114.05224768822291</v>
      </c>
      <c r="V44">
        <v>67.856379894405961</v>
      </c>
      <c r="W44">
        <v>79.160435804315313</v>
      </c>
      <c r="X44">
        <v>105.95263527329325</v>
      </c>
      <c r="Y44">
        <v>56.900234992522968</v>
      </c>
      <c r="Z44">
        <v>119.79888302255318</v>
      </c>
      <c r="AA44">
        <v>104.73189489425337</v>
      </c>
      <c r="AB44">
        <v>116.53035065767388</v>
      </c>
      <c r="AC44">
        <v>68.991668446913053</v>
      </c>
      <c r="AD44">
        <v>135.09170812097537</v>
      </c>
      <c r="AE44">
        <v>55.14542069765313</v>
      </c>
      <c r="AF44">
        <v>123.46720786156804</v>
      </c>
      <c r="AG44">
        <v>132.41828669087801</v>
      </c>
      <c r="AH44">
        <v>115.74297311319314</v>
      </c>
      <c r="AI44">
        <v>129.5281838435011</v>
      </c>
      <c r="AJ44">
        <v>64.029358806115908</v>
      </c>
      <c r="AK44">
        <v>81.5195165868099</v>
      </c>
      <c r="AL44">
        <v>70.291756950590525</v>
      </c>
      <c r="AM44">
        <v>117.52220221564379</v>
      </c>
      <c r="AN44">
        <v>73.419904171880248</v>
      </c>
      <c r="AO44">
        <v>148.26654866176335</v>
      </c>
      <c r="AP44">
        <v>140.20966216010009</v>
      </c>
      <c r="AQ44">
        <v>132.6807458723716</v>
      </c>
      <c r="AR44">
        <v>147.17398602252268</v>
      </c>
      <c r="AS44">
        <v>87.488937040314951</v>
      </c>
      <c r="AT44">
        <v>86.60084841456343</v>
      </c>
      <c r="AU44">
        <v>64.75264748069705</v>
      </c>
      <c r="AV44">
        <v>146.74672688985871</v>
      </c>
      <c r="AW44">
        <v>72.678304391613509</v>
      </c>
      <c r="AX44">
        <v>65.44846949674978</v>
      </c>
      <c r="AY44">
        <v>93.68724631488999</v>
      </c>
      <c r="AZ44">
        <v>114.88540299691763</v>
      </c>
      <c r="BA44">
        <v>149.44456312753687</v>
      </c>
      <c r="BB44">
        <v>53.595080416272467</v>
      </c>
      <c r="BC44">
        <v>60.776085695974608</v>
      </c>
      <c r="BD44">
        <v>100.96591082491531</v>
      </c>
      <c r="BE44">
        <v>83.240760521256135</v>
      </c>
      <c r="BF44">
        <v>113.77758110293894</v>
      </c>
      <c r="BG44">
        <v>82.401501510666222</v>
      </c>
      <c r="BH44">
        <v>68.829920346690272</v>
      </c>
      <c r="BI44">
        <v>63.638721884823148</v>
      </c>
      <c r="BJ44">
        <v>73.914304025391402</v>
      </c>
      <c r="BK44">
        <v>138.0428479873043</v>
      </c>
      <c r="BL44">
        <v>73.64879299295022</v>
      </c>
      <c r="BM44">
        <v>94.328135013885912</v>
      </c>
      <c r="BN44">
        <v>65.36606952116459</v>
      </c>
      <c r="BO44">
        <v>56.317331461531417</v>
      </c>
      <c r="BP44">
        <v>111.43375957518234</v>
      </c>
      <c r="BQ44">
        <v>91.621143223364967</v>
      </c>
      <c r="BR44">
        <v>76.136051515243992</v>
      </c>
      <c r="BS44">
        <v>112.33405560472427</v>
      </c>
      <c r="BT44">
        <v>89.54588457899716</v>
      </c>
      <c r="BU44">
        <v>85.41367839594713</v>
      </c>
      <c r="BV44">
        <v>110.55482650227363</v>
      </c>
      <c r="BW44">
        <v>61.111789300210575</v>
      </c>
      <c r="BX44">
        <v>88.85006256294443</v>
      </c>
      <c r="BY44">
        <v>145.29404583880125</v>
      </c>
      <c r="BZ44">
        <v>73.368022705771054</v>
      </c>
      <c r="CA44">
        <v>97.843867305520803</v>
      </c>
      <c r="CB44">
        <v>145.52903836176642</v>
      </c>
      <c r="CC44">
        <v>147.51579332865384</v>
      </c>
      <c r="CD44">
        <v>131.3806573686941</v>
      </c>
      <c r="CE44">
        <v>85.45030060731834</v>
      </c>
      <c r="CF44">
        <v>130.80080568865017</v>
      </c>
      <c r="CG44">
        <v>148.39167455061494</v>
      </c>
      <c r="CH44">
        <v>55.734427930539873</v>
      </c>
      <c r="CI44">
        <v>140.22186956389049</v>
      </c>
      <c r="CJ44">
        <v>56.595049897762991</v>
      </c>
      <c r="CK44">
        <v>79.764702291940068</v>
      </c>
      <c r="CL44">
        <v>98.023926511429181</v>
      </c>
      <c r="CM44">
        <v>116.04815820795312</v>
      </c>
      <c r="CN44">
        <v>85.32822656941434</v>
      </c>
      <c r="CO44">
        <v>132.18024231696523</v>
      </c>
      <c r="CP44">
        <v>103.26090273751029</v>
      </c>
      <c r="CQ44">
        <v>77.906125064851835</v>
      </c>
      <c r="CR44">
        <v>71.900082399975588</v>
      </c>
      <c r="CS44">
        <v>141.36631366924041</v>
      </c>
      <c r="CT44">
        <v>112.95358134708701</v>
      </c>
      <c r="CU44">
        <v>105.26291695913571</v>
      </c>
      <c r="CV44">
        <v>116.06036561174352</v>
      </c>
    </row>
    <row r="45" spans="1:100" x14ac:dyDescent="0.25">
      <c r="A45">
        <v>66.574602496414073</v>
      </c>
      <c r="B45">
        <v>101.39011810663168</v>
      </c>
      <c r="C45">
        <v>102.84585100863674</v>
      </c>
      <c r="D45">
        <v>69.391460921048619</v>
      </c>
      <c r="E45">
        <v>141.12521744438001</v>
      </c>
      <c r="F45">
        <v>109.42564165166173</v>
      </c>
      <c r="G45">
        <v>111.20792260505996</v>
      </c>
      <c r="H45">
        <v>64.273506881923879</v>
      </c>
      <c r="I45">
        <v>144.4395275734733</v>
      </c>
      <c r="J45">
        <v>92.066713461714528</v>
      </c>
      <c r="K45">
        <v>116.2038026062807</v>
      </c>
      <c r="L45">
        <v>98.527481917783135</v>
      </c>
      <c r="M45">
        <v>69.928586687826169</v>
      </c>
      <c r="N45">
        <v>102.90383617664114</v>
      </c>
      <c r="O45">
        <v>105.54979094821009</v>
      </c>
      <c r="P45">
        <v>113.54564043092137</v>
      </c>
      <c r="Q45">
        <v>129.80895413068026</v>
      </c>
      <c r="R45">
        <v>146.17908261360515</v>
      </c>
      <c r="S45">
        <v>93.919186986907562</v>
      </c>
      <c r="T45">
        <v>133.13241981261635</v>
      </c>
      <c r="U45">
        <v>99.18057802056947</v>
      </c>
      <c r="V45">
        <v>106.96584978789636</v>
      </c>
      <c r="W45">
        <v>144.87594225898007</v>
      </c>
      <c r="X45">
        <v>60.211493270668662</v>
      </c>
      <c r="Y45">
        <v>138.47926267281105</v>
      </c>
      <c r="Z45">
        <v>146.41407513657032</v>
      </c>
      <c r="AA45">
        <v>97.679067354350423</v>
      </c>
      <c r="AB45">
        <v>58.856471449934382</v>
      </c>
      <c r="AC45">
        <v>59.817804498428295</v>
      </c>
      <c r="AD45">
        <v>65.118869594409006</v>
      </c>
      <c r="AE45">
        <v>89.646595660267963</v>
      </c>
      <c r="AF45">
        <v>149.82299264503922</v>
      </c>
      <c r="AG45">
        <v>52.95419171727653</v>
      </c>
      <c r="AH45">
        <v>87.830744346446124</v>
      </c>
      <c r="AI45">
        <v>114.57106234931486</v>
      </c>
      <c r="AJ45">
        <v>97.645496993926827</v>
      </c>
      <c r="AK45">
        <v>136.41010773033844</v>
      </c>
      <c r="AL45">
        <v>72.510452589495529</v>
      </c>
      <c r="AM45">
        <v>107.96685689870907</v>
      </c>
      <c r="AN45">
        <v>117.52830591753899</v>
      </c>
      <c r="AO45">
        <v>149.41404461806084</v>
      </c>
      <c r="AP45">
        <v>96.998504593035676</v>
      </c>
      <c r="AQ45">
        <v>99.656666768395027</v>
      </c>
      <c r="AR45">
        <v>79.99664296395764</v>
      </c>
      <c r="AS45">
        <v>50.335703604235967</v>
      </c>
      <c r="AT45">
        <v>126.29016998809777</v>
      </c>
      <c r="AU45">
        <v>124.39191869869074</v>
      </c>
      <c r="AV45">
        <v>141.61656544694358</v>
      </c>
      <c r="AW45">
        <v>137.13644825586718</v>
      </c>
      <c r="AX45">
        <v>113.62804040650656</v>
      </c>
      <c r="AY45">
        <v>143.66740928373059</v>
      </c>
      <c r="AZ45">
        <v>61.267433698538163</v>
      </c>
      <c r="BA45">
        <v>115.94439527573473</v>
      </c>
      <c r="BB45">
        <v>53.241065706350902</v>
      </c>
      <c r="BC45">
        <v>116.04510635700552</v>
      </c>
      <c r="BD45">
        <v>117.56492812891018</v>
      </c>
      <c r="BE45">
        <v>51.168858912930695</v>
      </c>
      <c r="BF45">
        <v>61.981566820276498</v>
      </c>
      <c r="BG45">
        <v>66.284676656392094</v>
      </c>
      <c r="BH45">
        <v>78.266243476668606</v>
      </c>
      <c r="BI45">
        <v>112.33100375377667</v>
      </c>
      <c r="BJ45">
        <v>116.10003967406232</v>
      </c>
      <c r="BK45">
        <v>89.005706961272011</v>
      </c>
      <c r="BL45">
        <v>61.328470717490156</v>
      </c>
      <c r="BM45">
        <v>90.137943662831503</v>
      </c>
      <c r="BN45">
        <v>59.69573046052431</v>
      </c>
      <c r="BO45">
        <v>53.122043519394509</v>
      </c>
      <c r="BP45">
        <v>106.33716849269081</v>
      </c>
      <c r="BQ45">
        <v>76.819666127506338</v>
      </c>
      <c r="BR45">
        <v>133.14767906735435</v>
      </c>
      <c r="BS45">
        <v>136.38569292275764</v>
      </c>
      <c r="BT45">
        <v>133.41929380169074</v>
      </c>
      <c r="BU45">
        <v>101.90282906582843</v>
      </c>
      <c r="BV45">
        <v>128.1914731284524</v>
      </c>
      <c r="BW45">
        <v>72.602008117923518</v>
      </c>
      <c r="BX45">
        <v>64.035462508011108</v>
      </c>
      <c r="BY45">
        <v>82.279427472762222</v>
      </c>
      <c r="BZ45">
        <v>100.25177770317698</v>
      </c>
      <c r="CA45">
        <v>127.19656971953491</v>
      </c>
      <c r="CB45">
        <v>56.857509079256566</v>
      </c>
      <c r="CC45">
        <v>127.15384380626851</v>
      </c>
      <c r="CD45">
        <v>116.10614337595752</v>
      </c>
      <c r="CE45">
        <v>66.693624683370473</v>
      </c>
      <c r="CF45">
        <v>61.767937253944517</v>
      </c>
      <c r="CG45">
        <v>88.492996002075259</v>
      </c>
      <c r="CH45">
        <v>65.015106662190618</v>
      </c>
      <c r="CI45">
        <v>137.79564806054873</v>
      </c>
      <c r="CJ45">
        <v>145.17197180089727</v>
      </c>
      <c r="CK45">
        <v>97.605822931608031</v>
      </c>
      <c r="CL45">
        <v>111.49479659413433</v>
      </c>
      <c r="CM45">
        <v>121.62694174016541</v>
      </c>
      <c r="CN45">
        <v>89.698477126377156</v>
      </c>
      <c r="CO45">
        <v>78.495132297738579</v>
      </c>
      <c r="CP45">
        <v>117.76635029145176</v>
      </c>
      <c r="CQ45">
        <v>78.824732200079353</v>
      </c>
      <c r="CR45">
        <v>121.49876400036622</v>
      </c>
      <c r="CS45">
        <v>78.580584124271368</v>
      </c>
      <c r="CT45">
        <v>114.0980254524369</v>
      </c>
      <c r="CU45">
        <v>51.0681478316599</v>
      </c>
      <c r="CV45">
        <v>68.11883907589953</v>
      </c>
    </row>
    <row r="46" spans="1:100" x14ac:dyDescent="0.25">
      <c r="A46">
        <v>131.07242042298654</v>
      </c>
      <c r="B46">
        <v>79.734183782464072</v>
      </c>
      <c r="C46">
        <v>55.52995391705069</v>
      </c>
      <c r="D46">
        <v>138.51283303323464</v>
      </c>
      <c r="E46">
        <v>81.260109256263917</v>
      </c>
      <c r="F46">
        <v>59.512619403668324</v>
      </c>
      <c r="G46">
        <v>110.48463393047884</v>
      </c>
      <c r="H46">
        <v>134.72548600726341</v>
      </c>
      <c r="I46">
        <v>77.570421460615862</v>
      </c>
      <c r="J46">
        <v>111.26895962401196</v>
      </c>
      <c r="K46">
        <v>146.64601580858789</v>
      </c>
      <c r="L46">
        <v>111.53447065645315</v>
      </c>
      <c r="M46">
        <v>112.53547776726585</v>
      </c>
      <c r="N46">
        <v>146.30726035340433</v>
      </c>
      <c r="O46">
        <v>113.34116641743216</v>
      </c>
      <c r="P46">
        <v>121.20883816034424</v>
      </c>
      <c r="Q46">
        <v>78.641621143223375</v>
      </c>
      <c r="R46">
        <v>89.362773522141183</v>
      </c>
      <c r="S46">
        <v>79.779961546678066</v>
      </c>
      <c r="T46">
        <v>75.894955290383621</v>
      </c>
      <c r="U46">
        <v>130.11108737449263</v>
      </c>
      <c r="V46">
        <v>55.752739036225471</v>
      </c>
      <c r="W46">
        <v>116.06952116458632</v>
      </c>
      <c r="X46">
        <v>67.084261604663226</v>
      </c>
      <c r="Y46">
        <v>137.05404828028199</v>
      </c>
      <c r="Z46">
        <v>51.400799584948274</v>
      </c>
      <c r="AA46">
        <v>105.67186498611409</v>
      </c>
      <c r="AB46">
        <v>90.711691640980249</v>
      </c>
      <c r="AC46">
        <v>122.65236365855891</v>
      </c>
      <c r="AD46">
        <v>123.80901516769921</v>
      </c>
      <c r="AE46">
        <v>104.95468001342815</v>
      </c>
      <c r="AF46">
        <v>131.06021301919614</v>
      </c>
      <c r="AG46">
        <v>123.9494003112888</v>
      </c>
      <c r="AH46">
        <v>142.15674306466872</v>
      </c>
      <c r="AI46">
        <v>115.40116580706197</v>
      </c>
      <c r="AJ46">
        <v>106.56605731376081</v>
      </c>
      <c r="AK46">
        <v>66.925565355388045</v>
      </c>
      <c r="AL46">
        <v>134.62172307504503</v>
      </c>
      <c r="AM46">
        <v>84.171575060274051</v>
      </c>
      <c r="AN46">
        <v>130.68483535264139</v>
      </c>
      <c r="AO46">
        <v>96.427808465834531</v>
      </c>
      <c r="AP46">
        <v>61.044648579363383</v>
      </c>
      <c r="AQ46">
        <v>98.59767448957794</v>
      </c>
      <c r="AR46">
        <v>90.894802697836241</v>
      </c>
      <c r="AS46">
        <v>51.623584704123047</v>
      </c>
      <c r="AT46">
        <v>149.07528916287728</v>
      </c>
      <c r="AU46">
        <v>90.232551042207092</v>
      </c>
      <c r="AV46">
        <v>99.01272621845149</v>
      </c>
      <c r="AW46">
        <v>127.60551774651326</v>
      </c>
      <c r="AX46">
        <v>71.906186101870787</v>
      </c>
      <c r="AY46">
        <v>107.41752372814112</v>
      </c>
      <c r="AZ46">
        <v>145.09262367625965</v>
      </c>
      <c r="BA46">
        <v>134.67360454115422</v>
      </c>
      <c r="BB46">
        <v>100.26093325601978</v>
      </c>
      <c r="BC46">
        <v>124.08368175298318</v>
      </c>
      <c r="BD46">
        <v>70.096438489944148</v>
      </c>
      <c r="BE46">
        <v>91.862239448225353</v>
      </c>
      <c r="BF46">
        <v>60.361033967101051</v>
      </c>
      <c r="BG46">
        <v>63.785210730307931</v>
      </c>
      <c r="BH46">
        <v>145.84337900936919</v>
      </c>
      <c r="BI46">
        <v>115.41642506179997</v>
      </c>
      <c r="BJ46">
        <v>131.29520554216131</v>
      </c>
      <c r="BK46">
        <v>144.38459425641651</v>
      </c>
      <c r="BL46">
        <v>69.397564622943818</v>
      </c>
      <c r="BM46">
        <v>112.19672231208227</v>
      </c>
      <c r="BN46">
        <v>148.17194128238776</v>
      </c>
      <c r="BO46">
        <v>143.37748344370863</v>
      </c>
      <c r="BP46">
        <v>109.65758232367932</v>
      </c>
      <c r="BQ46">
        <v>121.29123813592945</v>
      </c>
      <c r="BR46">
        <v>106.48060548722802</v>
      </c>
      <c r="BS46">
        <v>86.085085604419078</v>
      </c>
      <c r="BT46">
        <v>105.37583544419691</v>
      </c>
      <c r="BU46">
        <v>132.32978301339762</v>
      </c>
      <c r="BV46">
        <v>69.605090487380593</v>
      </c>
      <c r="BW46">
        <v>135.52812280648214</v>
      </c>
      <c r="BX46">
        <v>57.968382824182868</v>
      </c>
      <c r="BY46">
        <v>119.62797936948759</v>
      </c>
      <c r="BZ46">
        <v>128.90560625019074</v>
      </c>
      <c r="CA46">
        <v>124.72151860103152</v>
      </c>
      <c r="CB46">
        <v>97.151097140415658</v>
      </c>
      <c r="CC46">
        <v>57.782219916379283</v>
      </c>
      <c r="CD46">
        <v>119.42960905789361</v>
      </c>
      <c r="CE46">
        <v>121.97485274819178</v>
      </c>
      <c r="CF46">
        <v>147.53410443433944</v>
      </c>
      <c r="CG46">
        <v>134.31653798028503</v>
      </c>
      <c r="CH46">
        <v>144.47614978484449</v>
      </c>
      <c r="CI46">
        <v>69.812616351817383</v>
      </c>
      <c r="CJ46">
        <v>74.356822412793363</v>
      </c>
      <c r="CK46">
        <v>125.04806665242469</v>
      </c>
      <c r="CL46">
        <v>111.9922482985931</v>
      </c>
      <c r="CM46">
        <v>88.172551652577283</v>
      </c>
      <c r="CN46">
        <v>136.42841883602404</v>
      </c>
      <c r="CO46">
        <v>147.75078585161901</v>
      </c>
      <c r="CP46">
        <v>136.08355967894528</v>
      </c>
      <c r="CQ46">
        <v>82.456434827723015</v>
      </c>
      <c r="CR46">
        <v>124.40717795342874</v>
      </c>
      <c r="CS46">
        <v>59.787285988952299</v>
      </c>
      <c r="CT46">
        <v>106.6301461836604</v>
      </c>
      <c r="CU46">
        <v>147.13126010925629</v>
      </c>
      <c r="CV46">
        <v>112.58125553147984</v>
      </c>
    </row>
    <row r="47" spans="1:100" x14ac:dyDescent="0.25">
      <c r="A47">
        <v>114.1376995147557</v>
      </c>
      <c r="B47">
        <v>115.89861751152074</v>
      </c>
      <c r="C47">
        <v>113.69823297830135</v>
      </c>
      <c r="D47">
        <v>95.777764213995795</v>
      </c>
      <c r="E47">
        <v>118.93826105533006</v>
      </c>
      <c r="F47">
        <v>103.72173223059787</v>
      </c>
      <c r="G47">
        <v>149.21567430646687</v>
      </c>
      <c r="H47">
        <v>75.260170293282869</v>
      </c>
      <c r="I47">
        <v>73.358867152928255</v>
      </c>
      <c r="J47">
        <v>108.89461958677938</v>
      </c>
      <c r="K47">
        <v>87.171544541764575</v>
      </c>
      <c r="L47">
        <v>124.59944456312753</v>
      </c>
      <c r="M47">
        <v>64.825891903439441</v>
      </c>
      <c r="N47">
        <v>128.76522110660116</v>
      </c>
      <c r="O47">
        <v>106.6667683950316</v>
      </c>
      <c r="P47">
        <v>143.07535019989623</v>
      </c>
      <c r="Q47">
        <v>135.75090792565692</v>
      </c>
      <c r="R47">
        <v>65.24704733420819</v>
      </c>
      <c r="S47">
        <v>64.487136448255868</v>
      </c>
      <c r="T47">
        <v>122.67067476424451</v>
      </c>
      <c r="U47">
        <v>73.139133884701067</v>
      </c>
      <c r="V47">
        <v>118.5018463698233</v>
      </c>
      <c r="W47">
        <v>126.63502914517655</v>
      </c>
      <c r="X47">
        <v>116.02679525131992</v>
      </c>
      <c r="Y47">
        <v>117.16208380382702</v>
      </c>
      <c r="Z47">
        <v>123.73577074495682</v>
      </c>
      <c r="AA47">
        <v>70.319223609118922</v>
      </c>
      <c r="AB47">
        <v>92.912076174199655</v>
      </c>
      <c r="AC47">
        <v>104.261909848323</v>
      </c>
      <c r="AD47">
        <v>84.348582415234844</v>
      </c>
      <c r="AE47">
        <v>97.13278603473006</v>
      </c>
      <c r="AF47">
        <v>63.275551622058778</v>
      </c>
      <c r="AG47">
        <v>110.50294503616443</v>
      </c>
      <c r="AH47">
        <v>104.45112460707418</v>
      </c>
      <c r="AI47">
        <v>147.92168950468459</v>
      </c>
      <c r="AJ47">
        <v>95.042268135624255</v>
      </c>
      <c r="AK47">
        <v>110.68605609302041</v>
      </c>
      <c r="AL47">
        <v>73.923459578234201</v>
      </c>
      <c r="AM47">
        <v>60.092471083712269</v>
      </c>
      <c r="AN47">
        <v>104.72884304330577</v>
      </c>
      <c r="AO47">
        <v>118.95352031006806</v>
      </c>
      <c r="AP47">
        <v>109.18149357585376</v>
      </c>
      <c r="AQ47">
        <v>57.919553209021274</v>
      </c>
      <c r="AR47">
        <v>149.09054841761528</v>
      </c>
      <c r="AS47">
        <v>126.45191808832057</v>
      </c>
      <c r="AT47">
        <v>102.66579180272836</v>
      </c>
      <c r="AU47">
        <v>116.45100253303629</v>
      </c>
      <c r="AV47">
        <v>95.799127170628992</v>
      </c>
      <c r="AW47">
        <v>101.66478469191564</v>
      </c>
      <c r="AX47">
        <v>84.311960203863649</v>
      </c>
      <c r="AY47">
        <v>115.28824732200079</v>
      </c>
      <c r="AZ47">
        <v>80.234687337870412</v>
      </c>
      <c r="BA47">
        <v>105.40635395367291</v>
      </c>
      <c r="BB47">
        <v>102.24463637195959</v>
      </c>
      <c r="BC47">
        <v>147.54631183812984</v>
      </c>
      <c r="BD47">
        <v>95.551927243873408</v>
      </c>
      <c r="BE47">
        <v>75.73320719016084</v>
      </c>
      <c r="BF47">
        <v>84.781945249794006</v>
      </c>
      <c r="BG47">
        <v>92.204046754356511</v>
      </c>
      <c r="BH47">
        <v>66.187017426068905</v>
      </c>
      <c r="BI47">
        <v>105.64134647663808</v>
      </c>
      <c r="BJ47">
        <v>102.63222144230477</v>
      </c>
      <c r="BK47">
        <v>116.93624683370464</v>
      </c>
      <c r="BL47">
        <v>54.232917264320811</v>
      </c>
      <c r="BM47">
        <v>63.583788567766348</v>
      </c>
      <c r="BN47">
        <v>136.20258186590166</v>
      </c>
      <c r="BO47">
        <v>73.136082033753468</v>
      </c>
      <c r="BP47">
        <v>77.603991821039457</v>
      </c>
      <c r="BQ47">
        <v>129.45188756981111</v>
      </c>
      <c r="BR47">
        <v>94.898831141087072</v>
      </c>
      <c r="BS47">
        <v>135.36027100436417</v>
      </c>
      <c r="BT47">
        <v>54.300057985168003</v>
      </c>
      <c r="BU47">
        <v>74.307992797631769</v>
      </c>
      <c r="BV47">
        <v>140.39582506790367</v>
      </c>
      <c r="BW47">
        <v>144.04889065218055</v>
      </c>
      <c r="BX47">
        <v>136.68172246467481</v>
      </c>
      <c r="BY47">
        <v>70.017090365306558</v>
      </c>
      <c r="BZ47">
        <v>120.21393475142675</v>
      </c>
      <c r="CA47">
        <v>117.20480971709341</v>
      </c>
      <c r="CB47">
        <v>138.93093661305582</v>
      </c>
      <c r="CC47">
        <v>119.40214239936522</v>
      </c>
      <c r="CD47">
        <v>139.83123264259774</v>
      </c>
      <c r="CE47">
        <v>146.67043061616869</v>
      </c>
      <c r="CF47">
        <v>110.78981902523881</v>
      </c>
      <c r="CG47">
        <v>147.48527481917785</v>
      </c>
      <c r="CH47">
        <v>51.345866267891473</v>
      </c>
      <c r="CI47">
        <v>144.54023865474409</v>
      </c>
      <c r="CJ47">
        <v>60.724204229865414</v>
      </c>
      <c r="CK47">
        <v>144.55244605853449</v>
      </c>
      <c r="CL47">
        <v>86.902981658375808</v>
      </c>
      <c r="CM47">
        <v>55.462813196203498</v>
      </c>
      <c r="CN47">
        <v>81.620227668080688</v>
      </c>
      <c r="CO47">
        <v>101.53660695211646</v>
      </c>
      <c r="CP47">
        <v>114.94338816492203</v>
      </c>
      <c r="CQ47">
        <v>100.33112582781457</v>
      </c>
      <c r="CR47">
        <v>82.126834925382241</v>
      </c>
      <c r="CS47">
        <v>128.46308786278877</v>
      </c>
      <c r="CT47">
        <v>147.44865260780665</v>
      </c>
      <c r="CU47">
        <v>67.075106051820427</v>
      </c>
      <c r="CV47">
        <v>76.828821680349137</v>
      </c>
    </row>
    <row r="48" spans="1:100" x14ac:dyDescent="0.25">
      <c r="A48">
        <v>89.692373424481957</v>
      </c>
      <c r="B48">
        <v>101.41758476516007</v>
      </c>
      <c r="C48">
        <v>69.110690633869439</v>
      </c>
      <c r="D48">
        <v>148.00103762932218</v>
      </c>
      <c r="E48">
        <v>143.70403149510179</v>
      </c>
      <c r="F48">
        <v>74.674214911343739</v>
      </c>
      <c r="G48">
        <v>131.95440534684286</v>
      </c>
      <c r="H48">
        <v>146.21265297402874</v>
      </c>
      <c r="I48">
        <v>85.148167363505962</v>
      </c>
      <c r="J48">
        <v>53.238013855403302</v>
      </c>
      <c r="K48">
        <v>54.181035798211617</v>
      </c>
      <c r="L48">
        <v>105.95873897518845</v>
      </c>
      <c r="M48">
        <v>126.01245155186621</v>
      </c>
      <c r="N48">
        <v>72.089297158726765</v>
      </c>
      <c r="O48">
        <v>68.015076143681142</v>
      </c>
      <c r="P48">
        <v>69.119846186712238</v>
      </c>
      <c r="Q48">
        <v>75.077059236426891</v>
      </c>
      <c r="R48">
        <v>51.617481002227848</v>
      </c>
      <c r="S48">
        <v>122.09387493514818</v>
      </c>
      <c r="T48">
        <v>110.33509323404644</v>
      </c>
      <c r="U48">
        <v>96.763512070070504</v>
      </c>
      <c r="V48">
        <v>83.579515976439708</v>
      </c>
      <c r="W48">
        <v>136.13238929410687</v>
      </c>
      <c r="X48">
        <v>135.54033021027254</v>
      </c>
      <c r="Y48">
        <v>127.99005096591083</v>
      </c>
      <c r="Z48">
        <v>143.01126132999664</v>
      </c>
      <c r="AA48">
        <v>77.637562181463068</v>
      </c>
      <c r="AB48">
        <v>114.31775872066409</v>
      </c>
      <c r="AC48">
        <v>93.656727805413993</v>
      </c>
      <c r="AD48">
        <v>104.2588579973754</v>
      </c>
      <c r="AE48">
        <v>126.34815515610217</v>
      </c>
      <c r="AF48">
        <v>149.13632618182928</v>
      </c>
      <c r="AG48">
        <v>111.41544846949674</v>
      </c>
      <c r="AH48">
        <v>89.249855037079982</v>
      </c>
      <c r="AI48">
        <v>141.93700979644154</v>
      </c>
      <c r="AJ48">
        <v>134.63698232978302</v>
      </c>
      <c r="AK48">
        <v>126.27491073335977</v>
      </c>
      <c r="AL48">
        <v>126.0765404217658</v>
      </c>
      <c r="AM48">
        <v>100.71260719626454</v>
      </c>
      <c r="AN48">
        <v>110.10620441297647</v>
      </c>
      <c r="AO48">
        <v>65.759758293404957</v>
      </c>
      <c r="AP48">
        <v>146.09057893612476</v>
      </c>
      <c r="AQ48">
        <v>116.87826166570025</v>
      </c>
      <c r="AR48">
        <v>58.194219794305248</v>
      </c>
      <c r="AS48">
        <v>56.167790765099035</v>
      </c>
      <c r="AT48">
        <v>97.584459974974834</v>
      </c>
      <c r="AU48">
        <v>113.95458845789972</v>
      </c>
      <c r="AV48">
        <v>53.091525009918513</v>
      </c>
      <c r="AW48">
        <v>90.61403241065706</v>
      </c>
      <c r="AX48">
        <v>104.20697653126621</v>
      </c>
      <c r="AY48">
        <v>96.479689931943724</v>
      </c>
      <c r="AZ48">
        <v>76.276436658833589</v>
      </c>
      <c r="BA48">
        <v>114.1376995147557</v>
      </c>
      <c r="BB48">
        <v>138.29309976500747</v>
      </c>
      <c r="BC48">
        <v>94.190801721243929</v>
      </c>
      <c r="BD48">
        <v>66.745506149479667</v>
      </c>
      <c r="BE48">
        <v>102.27820673238318</v>
      </c>
      <c r="BF48">
        <v>64.166692098757892</v>
      </c>
      <c r="BG48">
        <v>138.830225531785</v>
      </c>
      <c r="BH48">
        <v>86.530655842768638</v>
      </c>
      <c r="BI48">
        <v>120.31159398174994</v>
      </c>
      <c r="BJ48">
        <v>62.472914822840053</v>
      </c>
      <c r="BK48">
        <v>132.97067171239357</v>
      </c>
      <c r="BL48">
        <v>98.066652424695576</v>
      </c>
      <c r="BM48">
        <v>120.43366801965392</v>
      </c>
      <c r="BN48">
        <v>108.13165684987945</v>
      </c>
      <c r="BO48">
        <v>107.36564226203193</v>
      </c>
      <c r="BP48">
        <v>92.548905911435284</v>
      </c>
      <c r="BQ48">
        <v>128.71333964049197</v>
      </c>
      <c r="BR48">
        <v>73.938718832972199</v>
      </c>
      <c r="BS48">
        <v>140.53315836054566</v>
      </c>
      <c r="BT48">
        <v>93.65062410351878</v>
      </c>
      <c r="BU48">
        <v>146.44154179509871</v>
      </c>
      <c r="BV48">
        <v>89.088106936857201</v>
      </c>
      <c r="BW48">
        <v>95.7319864497818</v>
      </c>
      <c r="BX48">
        <v>109.10519730216376</v>
      </c>
      <c r="BY48">
        <v>107.89971617786188</v>
      </c>
      <c r="BZ48">
        <v>128.33491012298958</v>
      </c>
      <c r="CA48">
        <v>65.948973052156134</v>
      </c>
      <c r="CB48">
        <v>58.246101260414441</v>
      </c>
      <c r="CC48">
        <v>110.19775994140446</v>
      </c>
      <c r="CD48">
        <v>84.940641499069187</v>
      </c>
      <c r="CE48">
        <v>67.505417035431989</v>
      </c>
      <c r="CF48">
        <v>53.674428540910064</v>
      </c>
      <c r="CG48">
        <v>80.835901974547568</v>
      </c>
      <c r="CH48">
        <v>130.58717612231817</v>
      </c>
      <c r="CI48">
        <v>72.943815424054691</v>
      </c>
      <c r="CJ48">
        <v>65.124973296304205</v>
      </c>
      <c r="CK48">
        <v>98.542741172521147</v>
      </c>
      <c r="CL48">
        <v>115.24857325968199</v>
      </c>
      <c r="CM48">
        <v>123.77544480727562</v>
      </c>
      <c r="CN48">
        <v>143.70097964415419</v>
      </c>
      <c r="CO48">
        <v>133.10190130314035</v>
      </c>
      <c r="CP48">
        <v>110.29847102267524</v>
      </c>
      <c r="CQ48">
        <v>113.74095889156774</v>
      </c>
      <c r="CR48">
        <v>134.58510086367383</v>
      </c>
      <c r="CS48">
        <v>119.71343119602038</v>
      </c>
      <c r="CT48">
        <v>147.8698080385754</v>
      </c>
      <c r="CU48">
        <v>83.216345713675338</v>
      </c>
      <c r="CV48">
        <v>56.341746269112214</v>
      </c>
    </row>
    <row r="49" spans="1:100" x14ac:dyDescent="0.25">
      <c r="A49">
        <v>62.076174199652087</v>
      </c>
      <c r="B49">
        <v>111.21707815790276</v>
      </c>
      <c r="C49">
        <v>89.426862392040775</v>
      </c>
      <c r="D49">
        <v>146.21265297402874</v>
      </c>
      <c r="E49">
        <v>146.69179357280191</v>
      </c>
      <c r="F49">
        <v>147.57072664571064</v>
      </c>
      <c r="G49">
        <v>143.5911130100406</v>
      </c>
      <c r="H49">
        <v>92.710654011658079</v>
      </c>
      <c r="I49">
        <v>84.336375011444446</v>
      </c>
      <c r="J49">
        <v>90.888698995941041</v>
      </c>
      <c r="K49">
        <v>81.769768364513084</v>
      </c>
      <c r="L49">
        <v>63.006988738670003</v>
      </c>
      <c r="M49">
        <v>51.135288552507099</v>
      </c>
      <c r="N49">
        <v>60.711996826075016</v>
      </c>
      <c r="O49">
        <v>51.651051362651451</v>
      </c>
      <c r="P49">
        <v>145.17502365184487</v>
      </c>
      <c r="Q49">
        <v>139.58708456678977</v>
      </c>
      <c r="R49">
        <v>59.488204596087527</v>
      </c>
      <c r="S49">
        <v>56.109805597094635</v>
      </c>
      <c r="T49">
        <v>149.94201483199561</v>
      </c>
      <c r="U49">
        <v>109.30661946470535</v>
      </c>
      <c r="V49">
        <v>82.822656941434985</v>
      </c>
      <c r="W49">
        <v>134.93606372264779</v>
      </c>
      <c r="X49">
        <v>128.13348796044801</v>
      </c>
      <c r="Y49">
        <v>147.34794152653586</v>
      </c>
      <c r="Z49">
        <v>101.0483108005005</v>
      </c>
      <c r="AA49">
        <v>132.64412366100041</v>
      </c>
      <c r="AB49">
        <v>129.63499862666708</v>
      </c>
      <c r="AC49">
        <v>103.70952482680745</v>
      </c>
      <c r="AD49">
        <v>115.18753624073</v>
      </c>
      <c r="AE49">
        <v>143.08145390179143</v>
      </c>
      <c r="AF49">
        <v>132.12530899990844</v>
      </c>
      <c r="AG49">
        <v>117.67174291207617</v>
      </c>
      <c r="AH49">
        <v>140.46906949064606</v>
      </c>
      <c r="AI49">
        <v>71.408734397412033</v>
      </c>
      <c r="AJ49">
        <v>117.64732810449537</v>
      </c>
      <c r="AK49">
        <v>100.56001464888455</v>
      </c>
      <c r="AL49">
        <v>120.48554948576312</v>
      </c>
      <c r="AM49">
        <v>104.06659138767662</v>
      </c>
      <c r="AN49">
        <v>125.17014069032868</v>
      </c>
      <c r="AO49">
        <v>90.610980559709461</v>
      </c>
      <c r="AP49">
        <v>125.17624439222388</v>
      </c>
      <c r="AQ49">
        <v>127.39799188207648</v>
      </c>
      <c r="AR49">
        <v>57.229834894863735</v>
      </c>
      <c r="AS49">
        <v>145.48936429944763</v>
      </c>
      <c r="AT49">
        <v>135.68071535386213</v>
      </c>
      <c r="AU49">
        <v>85.523545030060731</v>
      </c>
      <c r="AV49">
        <v>68.820764793847474</v>
      </c>
      <c r="AW49">
        <v>88.163396099734484</v>
      </c>
      <c r="AX49">
        <v>69.26328318124942</v>
      </c>
      <c r="AY49">
        <v>133.58409375286112</v>
      </c>
      <c r="AZ49">
        <v>59.628589739677111</v>
      </c>
      <c r="BA49">
        <v>115.37064729758598</v>
      </c>
      <c r="BB49">
        <v>74.970244453260904</v>
      </c>
      <c r="BC49">
        <v>80.298776207770004</v>
      </c>
      <c r="BD49">
        <v>68.109683523056731</v>
      </c>
      <c r="BE49">
        <v>74.680318613238938</v>
      </c>
      <c r="BF49">
        <v>50.766014587847529</v>
      </c>
      <c r="BG49">
        <v>67.685476241340368</v>
      </c>
      <c r="BH49">
        <v>133.69396038697471</v>
      </c>
      <c r="BI49">
        <v>78.510391552476577</v>
      </c>
      <c r="BJ49">
        <v>86.207159642323063</v>
      </c>
      <c r="BK49">
        <v>74.698629718924536</v>
      </c>
      <c r="BL49">
        <v>110.36561174352245</v>
      </c>
      <c r="BM49">
        <v>142.2605059968871</v>
      </c>
      <c r="BN49">
        <v>52.896206549272136</v>
      </c>
      <c r="BO49">
        <v>83.03628650776696</v>
      </c>
      <c r="BP49">
        <v>113.43882564775535</v>
      </c>
      <c r="BQ49">
        <v>88.816492202520834</v>
      </c>
      <c r="BR49">
        <v>125.78356273079623</v>
      </c>
      <c r="BS49">
        <v>87.064729758598588</v>
      </c>
      <c r="BT49">
        <v>52.246162297433393</v>
      </c>
      <c r="BU49">
        <v>62.86965544602802</v>
      </c>
      <c r="BV49">
        <v>102.67799920651876</v>
      </c>
      <c r="BW49">
        <v>147.68364513077182</v>
      </c>
      <c r="BX49">
        <v>131.06021301919614</v>
      </c>
      <c r="BY49">
        <v>140.74373607593003</v>
      </c>
      <c r="BZ49">
        <v>137.29209265419476</v>
      </c>
      <c r="CA49">
        <v>105.76342051454208</v>
      </c>
      <c r="CB49">
        <v>71.240882595294039</v>
      </c>
      <c r="CC49">
        <v>76.334421826837982</v>
      </c>
      <c r="CD49">
        <v>63.84929960020753</v>
      </c>
      <c r="CE49">
        <v>120.79683828241828</v>
      </c>
      <c r="CF49">
        <v>57.861568041016881</v>
      </c>
      <c r="CG49">
        <v>73.868526261177408</v>
      </c>
      <c r="CH49">
        <v>141.4395580919828</v>
      </c>
      <c r="CI49">
        <v>50.323496200445568</v>
      </c>
      <c r="CJ49">
        <v>63.827936643574333</v>
      </c>
      <c r="CK49">
        <v>127.95953245643483</v>
      </c>
      <c r="CL49">
        <v>96.208075197607343</v>
      </c>
      <c r="CM49">
        <v>135.8760338145085</v>
      </c>
      <c r="CN49">
        <v>54.672383800775172</v>
      </c>
      <c r="CO49">
        <v>121.73986022522661</v>
      </c>
      <c r="CP49">
        <v>89.54893642994476</v>
      </c>
      <c r="CQ49">
        <v>110.8966338084048</v>
      </c>
      <c r="CR49">
        <v>127.15079195532091</v>
      </c>
      <c r="CS49">
        <v>123.59843745231483</v>
      </c>
      <c r="CT49">
        <v>90.372936185796689</v>
      </c>
      <c r="CU49">
        <v>96.452223273415328</v>
      </c>
      <c r="CV49">
        <v>84.723960081789613</v>
      </c>
    </row>
    <row r="50" spans="1:100" x14ac:dyDescent="0.25">
      <c r="A50">
        <v>118.09900204474013</v>
      </c>
      <c r="B50">
        <v>116.60969878231148</v>
      </c>
      <c r="C50">
        <v>71.716971343119596</v>
      </c>
      <c r="D50">
        <v>147.39982299264506</v>
      </c>
      <c r="E50">
        <v>68.576616718039489</v>
      </c>
      <c r="F50">
        <v>96.659749137852117</v>
      </c>
      <c r="G50">
        <v>78.720969267860966</v>
      </c>
      <c r="H50">
        <v>60.122989593188265</v>
      </c>
      <c r="I50">
        <v>103.60271004364147</v>
      </c>
      <c r="J50">
        <v>148.73043000579852</v>
      </c>
      <c r="K50">
        <v>120.79989013336588</v>
      </c>
      <c r="L50">
        <v>129.83642078920866</v>
      </c>
      <c r="M50">
        <v>134.17004913480025</v>
      </c>
      <c r="N50">
        <v>55.316324350718709</v>
      </c>
      <c r="O50">
        <v>54.031495101779228</v>
      </c>
      <c r="P50">
        <v>127.59941404461806</v>
      </c>
      <c r="Q50">
        <v>79.157383953367713</v>
      </c>
      <c r="R50">
        <v>113.53648487807857</v>
      </c>
      <c r="S50">
        <v>75.794244209112833</v>
      </c>
      <c r="T50">
        <v>145.13534958952607</v>
      </c>
      <c r="U50">
        <v>61.88085573900571</v>
      </c>
      <c r="V50">
        <v>107.98821985534227</v>
      </c>
      <c r="W50">
        <v>118.65443891720329</v>
      </c>
      <c r="X50">
        <v>75.601977599414042</v>
      </c>
      <c r="Y50">
        <v>80.265205847346408</v>
      </c>
      <c r="Z50">
        <v>62.729270302438429</v>
      </c>
      <c r="AA50">
        <v>106.98110904263436</v>
      </c>
      <c r="AB50">
        <v>106.27918332468641</v>
      </c>
      <c r="AC50">
        <v>141.28086184270762</v>
      </c>
      <c r="AD50">
        <v>100.45319986571856</v>
      </c>
      <c r="AE50">
        <v>91.88665425580615</v>
      </c>
      <c r="AF50">
        <v>76.285592211676388</v>
      </c>
      <c r="AG50">
        <v>100.25177770317698</v>
      </c>
      <c r="AH50">
        <v>87.040314951017791</v>
      </c>
      <c r="AI50">
        <v>130.06836146122623</v>
      </c>
      <c r="AJ50">
        <v>102.48878444776756</v>
      </c>
      <c r="AK50">
        <v>95.716727195043802</v>
      </c>
      <c r="AL50">
        <v>89.58250679036837</v>
      </c>
      <c r="AM50">
        <v>122.25867488631856</v>
      </c>
      <c r="AN50">
        <v>126.66554765465254</v>
      </c>
      <c r="AO50">
        <v>120.34516434217353</v>
      </c>
      <c r="AP50">
        <v>125.99108859523301</v>
      </c>
      <c r="AQ50">
        <v>76.874599444563131</v>
      </c>
      <c r="AR50">
        <v>87.104403820917383</v>
      </c>
      <c r="AS50">
        <v>118.68495742667929</v>
      </c>
      <c r="AT50">
        <v>134.35926389355143</v>
      </c>
      <c r="AU50">
        <v>114.45509201330607</v>
      </c>
      <c r="AV50">
        <v>67.752616962187574</v>
      </c>
      <c r="AW50">
        <v>52.249214148380993</v>
      </c>
      <c r="AX50">
        <v>140.1577806939909</v>
      </c>
      <c r="AY50">
        <v>73.175756096072263</v>
      </c>
      <c r="AZ50">
        <v>79.606006042664887</v>
      </c>
      <c r="BA50">
        <v>100.19684438612019</v>
      </c>
      <c r="BB50">
        <v>103.12662129581591</v>
      </c>
      <c r="BC50">
        <v>97.251808221686446</v>
      </c>
      <c r="BD50">
        <v>65.051728873561814</v>
      </c>
      <c r="BE50">
        <v>84.29975280007325</v>
      </c>
      <c r="BF50">
        <v>89.039277321695607</v>
      </c>
      <c r="BG50">
        <v>146.12720114749595</v>
      </c>
      <c r="BH50">
        <v>134.73464156010621</v>
      </c>
      <c r="BI50">
        <v>117.96777245399335</v>
      </c>
      <c r="BJ50">
        <v>85.105441450239567</v>
      </c>
      <c r="BK50">
        <v>91.138950773644211</v>
      </c>
      <c r="BL50">
        <v>126.80898464918974</v>
      </c>
      <c r="BM50">
        <v>80.118717001861626</v>
      </c>
      <c r="BN50">
        <v>124.32782982879115</v>
      </c>
      <c r="BO50">
        <v>73.963133640552996</v>
      </c>
      <c r="BP50">
        <v>144.24726096377452</v>
      </c>
      <c r="BQ50">
        <v>127.92901394695882</v>
      </c>
      <c r="BR50">
        <v>87.009796441541795</v>
      </c>
      <c r="BS50">
        <v>148.26349681081575</v>
      </c>
      <c r="BT50">
        <v>92.323068941312911</v>
      </c>
      <c r="BU50">
        <v>96.760460219122905</v>
      </c>
      <c r="BV50">
        <v>63.376262703329573</v>
      </c>
      <c r="BW50">
        <v>104.34736167485579</v>
      </c>
      <c r="BX50">
        <v>67.13309121982482</v>
      </c>
      <c r="BY50">
        <v>147.23197119052708</v>
      </c>
      <c r="BZ50">
        <v>74.967192602313304</v>
      </c>
      <c r="CA50">
        <v>117.50083925901059</v>
      </c>
      <c r="CB50">
        <v>73.160496841334265</v>
      </c>
      <c r="CC50">
        <v>124.91378521073031</v>
      </c>
      <c r="CD50">
        <v>57.943968016602071</v>
      </c>
      <c r="CE50">
        <v>110.52430799279763</v>
      </c>
      <c r="CF50">
        <v>98.103274636066772</v>
      </c>
      <c r="CG50">
        <v>148.40693380535293</v>
      </c>
      <c r="CH50">
        <v>61.456648457289347</v>
      </c>
      <c r="CI50">
        <v>71.182897427289646</v>
      </c>
      <c r="CJ50">
        <v>123.03994872890408</v>
      </c>
      <c r="CK50">
        <v>91.315958128605004</v>
      </c>
      <c r="CL50">
        <v>64.142277291177095</v>
      </c>
      <c r="CM50">
        <v>115.172276985992</v>
      </c>
      <c r="CN50">
        <v>96.076845606860559</v>
      </c>
      <c r="CO50">
        <v>73.822748496963413</v>
      </c>
      <c r="CP50">
        <v>61.947996459852902</v>
      </c>
      <c r="CQ50">
        <v>135.17105624561296</v>
      </c>
      <c r="CR50">
        <v>147.59514145329143</v>
      </c>
      <c r="CS50">
        <v>129.45493942075871</v>
      </c>
      <c r="CT50">
        <v>130.336924344615</v>
      </c>
      <c r="CU50">
        <v>126.71742912076174</v>
      </c>
      <c r="CV50">
        <v>75.214392529068874</v>
      </c>
    </row>
    <row r="51" spans="1:100" x14ac:dyDescent="0.25">
      <c r="A51">
        <v>78.56532486953337</v>
      </c>
      <c r="B51">
        <v>127.98699911496323</v>
      </c>
      <c r="C51">
        <v>122.63100070192571</v>
      </c>
      <c r="D51">
        <v>149.39878536332284</v>
      </c>
      <c r="E51">
        <v>68.778038880581079</v>
      </c>
      <c r="F51">
        <v>66.217535935544902</v>
      </c>
      <c r="G51">
        <v>93.235572374645216</v>
      </c>
      <c r="H51">
        <v>145.93798638874478</v>
      </c>
      <c r="I51">
        <v>61.328470717490156</v>
      </c>
      <c r="J51">
        <v>120.39094210638753</v>
      </c>
      <c r="K51">
        <v>100.28839991454818</v>
      </c>
      <c r="L51">
        <v>120.95553453169347</v>
      </c>
      <c r="M51">
        <v>133.10800500503555</v>
      </c>
      <c r="N51">
        <v>58.514664143803216</v>
      </c>
      <c r="O51">
        <v>93.708609271523187</v>
      </c>
      <c r="P51">
        <v>112.82235175634023</v>
      </c>
      <c r="Q51">
        <v>54.586931974242376</v>
      </c>
      <c r="R51">
        <v>62.375255592516865</v>
      </c>
      <c r="S51">
        <v>98.503067110202338</v>
      </c>
      <c r="T51">
        <v>85.441145054475527</v>
      </c>
      <c r="U51">
        <v>67.33756523331401</v>
      </c>
      <c r="V51">
        <v>57.522812585833307</v>
      </c>
      <c r="W51">
        <v>137.28598895229956</v>
      </c>
      <c r="X51">
        <v>123.15897091586046</v>
      </c>
      <c r="Y51">
        <v>111.70537430951873</v>
      </c>
      <c r="Z51">
        <v>92.683187353129682</v>
      </c>
      <c r="AA51">
        <v>104.56099124118779</v>
      </c>
      <c r="AB51">
        <v>70.444349497970521</v>
      </c>
      <c r="AC51">
        <v>120.34516434217353</v>
      </c>
      <c r="AD51">
        <v>121.69713431196021</v>
      </c>
      <c r="AE51">
        <v>133.38572344126712</v>
      </c>
      <c r="AF51">
        <v>94.404431287575903</v>
      </c>
      <c r="AG51">
        <v>143.18216498306225</v>
      </c>
      <c r="AH51">
        <v>91.135898922696612</v>
      </c>
      <c r="AI51">
        <v>145.02853480636006</v>
      </c>
      <c r="AJ51">
        <v>98.249763481551554</v>
      </c>
      <c r="AK51">
        <v>119.43571275978881</v>
      </c>
      <c r="AL51">
        <v>86.695455793939033</v>
      </c>
      <c r="AM51">
        <v>122.28614154484696</v>
      </c>
      <c r="AN51">
        <v>63.907284768211923</v>
      </c>
      <c r="AO51">
        <v>62.363048188726466</v>
      </c>
      <c r="AP51">
        <v>141.51585436567279</v>
      </c>
      <c r="AQ51">
        <v>97.05038605914487</v>
      </c>
      <c r="AR51">
        <v>51.831110568559829</v>
      </c>
      <c r="AS51">
        <v>72.29987487411114</v>
      </c>
      <c r="AT51">
        <v>59.524826807458723</v>
      </c>
      <c r="AU51">
        <v>92.728965117343677</v>
      </c>
      <c r="AV51">
        <v>136.16901150547807</v>
      </c>
      <c r="AW51">
        <v>143.65215002899259</v>
      </c>
      <c r="AX51">
        <v>56.96432386242256</v>
      </c>
      <c r="AY51">
        <v>62.643818475905633</v>
      </c>
      <c r="AZ51">
        <v>114.04614398632771</v>
      </c>
      <c r="BA51">
        <v>131.4203314310129</v>
      </c>
      <c r="BB51">
        <v>76.636555070650346</v>
      </c>
      <c r="BC51">
        <v>62.775048066652424</v>
      </c>
      <c r="BD51">
        <v>147.52189703054904</v>
      </c>
      <c r="BE51">
        <v>88.178655354472482</v>
      </c>
      <c r="BF51">
        <v>58.429212317270427</v>
      </c>
      <c r="BG51">
        <v>90.269173253578288</v>
      </c>
      <c r="BH51">
        <v>59.115878780480358</v>
      </c>
      <c r="BI51">
        <v>133.07748649555955</v>
      </c>
      <c r="BJ51">
        <v>98.9364299447615</v>
      </c>
      <c r="BK51">
        <v>100.37690359202857</v>
      </c>
      <c r="BL51">
        <v>62.225714896084476</v>
      </c>
      <c r="BM51">
        <v>138.47926267281105</v>
      </c>
      <c r="BN51">
        <v>93.406476027710795</v>
      </c>
      <c r="BO51">
        <v>120.29633472701194</v>
      </c>
      <c r="BP51">
        <v>86.448255867183448</v>
      </c>
      <c r="BQ51">
        <v>132.05511642811365</v>
      </c>
      <c r="BR51">
        <v>59.46989349040193</v>
      </c>
      <c r="BS51">
        <v>145.21774956511126</v>
      </c>
      <c r="BT51">
        <v>51.907406842249827</v>
      </c>
      <c r="BU51">
        <v>86.280404065065454</v>
      </c>
      <c r="BV51">
        <v>131.10599078341014</v>
      </c>
      <c r="BW51">
        <v>68.967253639332256</v>
      </c>
      <c r="BX51">
        <v>139.88311410870693</v>
      </c>
      <c r="BY51">
        <v>119.10000915555284</v>
      </c>
      <c r="BZ51">
        <v>119.19156468398083</v>
      </c>
      <c r="CA51">
        <v>114.81826227607044</v>
      </c>
      <c r="CB51">
        <v>62.826929532761618</v>
      </c>
      <c r="CC51">
        <v>96.31183812982573</v>
      </c>
      <c r="CD51">
        <v>66.791283913693661</v>
      </c>
      <c r="CE51">
        <v>82.13599047822504</v>
      </c>
      <c r="CF51">
        <v>86.948759422589802</v>
      </c>
      <c r="CG51">
        <v>76.377147740104377</v>
      </c>
      <c r="CH51">
        <v>77.301858577227094</v>
      </c>
      <c r="CI51">
        <v>74.46974089785455</v>
      </c>
      <c r="CJ51">
        <v>110.44495986816004</v>
      </c>
      <c r="CK51">
        <v>88.20001831110568</v>
      </c>
      <c r="CL51">
        <v>143.54838709677421</v>
      </c>
      <c r="CM51">
        <v>124.70625934629352</v>
      </c>
      <c r="CN51">
        <v>50.515762810144352</v>
      </c>
      <c r="CO51">
        <v>82.557145908993803</v>
      </c>
      <c r="CP51">
        <v>56.012146366771447</v>
      </c>
      <c r="CQ51">
        <v>82.926419873653373</v>
      </c>
      <c r="CR51">
        <v>142.3184911648915</v>
      </c>
      <c r="CS51">
        <v>147.79045991393781</v>
      </c>
      <c r="CT51">
        <v>118.27906125064852</v>
      </c>
      <c r="CU51">
        <v>82.5846125675222</v>
      </c>
      <c r="CV51">
        <v>102.92825098422193</v>
      </c>
    </row>
    <row r="52" spans="1:100" x14ac:dyDescent="0.25">
      <c r="A52">
        <v>112.21503341776787</v>
      </c>
      <c r="B52">
        <v>103.40128788109989</v>
      </c>
      <c r="C52">
        <v>81.461531418805507</v>
      </c>
      <c r="D52">
        <v>75.189977721488077</v>
      </c>
      <c r="E52">
        <v>111.9739371929075</v>
      </c>
      <c r="F52">
        <v>92.600787377544478</v>
      </c>
      <c r="G52">
        <v>93.183690908536022</v>
      </c>
      <c r="H52">
        <v>67.883846552934358</v>
      </c>
      <c r="I52">
        <v>52.862636188848541</v>
      </c>
      <c r="J52">
        <v>105.39719840083011</v>
      </c>
      <c r="K52">
        <v>71.237830744346439</v>
      </c>
      <c r="L52">
        <v>115.82537308877835</v>
      </c>
      <c r="M52">
        <v>68.384350108340712</v>
      </c>
      <c r="N52">
        <v>63.803521835993529</v>
      </c>
      <c r="O52">
        <v>132.06427198095645</v>
      </c>
      <c r="P52">
        <v>72.29987487411114</v>
      </c>
      <c r="Q52">
        <v>140.91158787804804</v>
      </c>
      <c r="R52">
        <v>144.01837214270455</v>
      </c>
      <c r="S52">
        <v>127.18741416669211</v>
      </c>
      <c r="T52">
        <v>92.329172643208111</v>
      </c>
      <c r="U52">
        <v>126.52516251106296</v>
      </c>
      <c r="V52">
        <v>64.319284646137888</v>
      </c>
      <c r="W52">
        <v>92.042298654133731</v>
      </c>
      <c r="X52">
        <v>148.77925962096012</v>
      </c>
      <c r="Y52">
        <v>119.18546098208563</v>
      </c>
      <c r="Z52">
        <v>55.218665120395521</v>
      </c>
      <c r="AA52">
        <v>148.06207464827418</v>
      </c>
      <c r="AB52">
        <v>88.523514511551255</v>
      </c>
      <c r="AC52">
        <v>94.700460829493096</v>
      </c>
      <c r="AD52">
        <v>89.912106692709131</v>
      </c>
      <c r="AE52">
        <v>123.74187444685202</v>
      </c>
      <c r="AF52">
        <v>131.79570909756768</v>
      </c>
      <c r="AG52">
        <v>125.26169621875668</v>
      </c>
      <c r="AH52">
        <v>103.25479903561509</v>
      </c>
      <c r="AI52">
        <v>110.26490066225165</v>
      </c>
      <c r="AJ52">
        <v>67.773979918820771</v>
      </c>
      <c r="AK52">
        <v>105.07065034943693</v>
      </c>
      <c r="AL52">
        <v>77.314065981017492</v>
      </c>
      <c r="AM52">
        <v>117.3329874568926</v>
      </c>
      <c r="AN52">
        <v>149.64903714102604</v>
      </c>
      <c r="AO52">
        <v>77.768791772209852</v>
      </c>
      <c r="AP52">
        <v>121.6635639515366</v>
      </c>
      <c r="AQ52">
        <v>144.79964598529008</v>
      </c>
      <c r="AR52">
        <v>142.15063936277352</v>
      </c>
      <c r="AS52">
        <v>106.20899075289162</v>
      </c>
      <c r="AT52">
        <v>126.50685140537736</v>
      </c>
      <c r="AU52">
        <v>135.76311532944732</v>
      </c>
      <c r="AV52">
        <v>124.83138523514512</v>
      </c>
      <c r="AW52">
        <v>75.244911038544871</v>
      </c>
      <c r="AX52">
        <v>116.80806909390546</v>
      </c>
      <c r="AY52">
        <v>130.3735465559862</v>
      </c>
      <c r="AZ52">
        <v>147.81182287057101</v>
      </c>
      <c r="BA52">
        <v>50.61952574236274</v>
      </c>
      <c r="BB52">
        <v>63.48612933744316</v>
      </c>
      <c r="BC52">
        <v>50.98269600512711</v>
      </c>
      <c r="BD52">
        <v>90.238654744102291</v>
      </c>
      <c r="BE52">
        <v>77.149266029847098</v>
      </c>
      <c r="BF52">
        <v>122.64015625476851</v>
      </c>
      <c r="BG52">
        <v>56.717123935666983</v>
      </c>
      <c r="BH52">
        <v>125.22507400738549</v>
      </c>
      <c r="BI52">
        <v>110.35645619067965</v>
      </c>
      <c r="BJ52">
        <v>124.36445204016235</v>
      </c>
      <c r="BK52">
        <v>100.05645924253059</v>
      </c>
      <c r="BL52">
        <v>92.05145420697653</v>
      </c>
      <c r="BM52">
        <v>92.188787499618513</v>
      </c>
      <c r="BN52">
        <v>113.36558122501296</v>
      </c>
      <c r="BO52">
        <v>85.215308084353154</v>
      </c>
      <c r="BP52">
        <v>113.09091463972899</v>
      </c>
      <c r="BQ52">
        <v>100.51728873561815</v>
      </c>
      <c r="BR52">
        <v>71.121860408337653</v>
      </c>
      <c r="BS52">
        <v>72.49824518570513</v>
      </c>
      <c r="BT52">
        <v>143.20963164159065</v>
      </c>
      <c r="BU52">
        <v>113.35642567217016</v>
      </c>
      <c r="BV52">
        <v>85.718863490707122</v>
      </c>
      <c r="BW52">
        <v>81.296731467635112</v>
      </c>
      <c r="BX52">
        <v>123.31461531418806</v>
      </c>
      <c r="BY52">
        <v>60.769981994079409</v>
      </c>
      <c r="BZ52">
        <v>58.597064119388406</v>
      </c>
      <c r="CA52">
        <v>82.328257087923831</v>
      </c>
      <c r="CB52">
        <v>66.098513748588516</v>
      </c>
      <c r="CC52">
        <v>80.127872554704425</v>
      </c>
      <c r="CD52">
        <v>101.34739219336527</v>
      </c>
      <c r="CE52">
        <v>119.78057191686759</v>
      </c>
      <c r="CF52">
        <v>52.145451216162606</v>
      </c>
      <c r="CG52">
        <v>140.26764732810449</v>
      </c>
      <c r="CH52">
        <v>125.66454054383985</v>
      </c>
      <c r="CI52">
        <v>53.93078402050844</v>
      </c>
      <c r="CJ52">
        <v>64.517654957731864</v>
      </c>
      <c r="CK52">
        <v>50.253303628650777</v>
      </c>
      <c r="CL52">
        <v>79.578539384136477</v>
      </c>
      <c r="CM52">
        <v>64.947965941343426</v>
      </c>
      <c r="CN52">
        <v>139.93499557481613</v>
      </c>
      <c r="CO52">
        <v>118.34009826960052</v>
      </c>
      <c r="CP52">
        <v>133.13547166356395</v>
      </c>
      <c r="CQ52">
        <v>108.38801232947782</v>
      </c>
      <c r="CR52">
        <v>64.685506759849844</v>
      </c>
      <c r="CS52">
        <v>76.712851344340351</v>
      </c>
      <c r="CT52">
        <v>66.559343241676075</v>
      </c>
      <c r="CU52">
        <v>63.129062776573988</v>
      </c>
      <c r="CV52">
        <v>93.400372325815596</v>
      </c>
    </row>
    <row r="54" spans="1:100" x14ac:dyDescent="0.25">
      <c r="A54">
        <f t="shared" ref="A54:BL54" si="0">AVERAGE(A3:A52)</f>
        <v>102.70265816217533</v>
      </c>
      <c r="B54">
        <f t="shared" si="0"/>
        <v>102.89223914304029</v>
      </c>
      <c r="C54">
        <f t="shared" si="0"/>
        <v>85.963011566515092</v>
      </c>
      <c r="D54">
        <f t="shared" si="0"/>
        <v>97.288308359019751</v>
      </c>
      <c r="E54">
        <f t="shared" si="0"/>
        <v>101.3216345713675</v>
      </c>
      <c r="F54">
        <f t="shared" si="0"/>
        <v>100.33057649464398</v>
      </c>
      <c r="G54">
        <f t="shared" si="0"/>
        <v>102.5832087160863</v>
      </c>
      <c r="H54">
        <f t="shared" si="0"/>
        <v>96.162846766563945</v>
      </c>
      <c r="I54">
        <f t="shared" si="0"/>
        <v>91.877193517868562</v>
      </c>
      <c r="J54">
        <f t="shared" si="0"/>
        <v>100.97317423017059</v>
      </c>
      <c r="K54">
        <f t="shared" si="0"/>
        <v>102.16956083864866</v>
      </c>
      <c r="L54">
        <f t="shared" si="0"/>
        <v>99.525498214667181</v>
      </c>
      <c r="M54">
        <f t="shared" si="0"/>
        <v>101.43327127903076</v>
      </c>
      <c r="N54">
        <f t="shared" si="0"/>
        <v>97.352214117862474</v>
      </c>
      <c r="O54">
        <f t="shared" si="0"/>
        <v>97.96337778862879</v>
      </c>
      <c r="P54">
        <f t="shared" si="0"/>
        <v>101.13895077364423</v>
      </c>
      <c r="Q54">
        <f t="shared" si="0"/>
        <v>98.240058595538159</v>
      </c>
      <c r="R54">
        <f t="shared" si="0"/>
        <v>98.090823084200565</v>
      </c>
      <c r="S54">
        <f t="shared" si="0"/>
        <v>95.966063417462664</v>
      </c>
      <c r="T54">
        <f t="shared" si="0"/>
        <v>105.39255958738977</v>
      </c>
      <c r="U54">
        <f t="shared" si="0"/>
        <v>101.95379497665331</v>
      </c>
      <c r="V54">
        <f t="shared" si="0"/>
        <v>95.755058442945653</v>
      </c>
      <c r="W54">
        <f t="shared" si="0"/>
        <v>105.87737662892542</v>
      </c>
      <c r="X54">
        <f t="shared" si="0"/>
        <v>100.98654133732109</v>
      </c>
      <c r="Y54">
        <f t="shared" si="0"/>
        <v>103.07559434797204</v>
      </c>
      <c r="Z54">
        <f t="shared" si="0"/>
        <v>99.0314035462508</v>
      </c>
      <c r="AA54">
        <f t="shared" si="0"/>
        <v>101.07046723838006</v>
      </c>
      <c r="AB54">
        <f t="shared" si="0"/>
        <v>99.502426221503342</v>
      </c>
      <c r="AC54">
        <f t="shared" si="0"/>
        <v>99.745292519913335</v>
      </c>
      <c r="AD54">
        <f t="shared" si="0"/>
        <v>100.84359263893552</v>
      </c>
      <c r="AE54">
        <f t="shared" si="0"/>
        <v>100.73775444807278</v>
      </c>
      <c r="AF54">
        <f t="shared" si="0"/>
        <v>105.47941526535844</v>
      </c>
      <c r="AG54">
        <f t="shared" si="0"/>
        <v>108.01391644032104</v>
      </c>
      <c r="AH54">
        <f t="shared" si="0"/>
        <v>98.044129764702248</v>
      </c>
      <c r="AI54">
        <f t="shared" si="0"/>
        <v>101.31553086947237</v>
      </c>
      <c r="AJ54">
        <f t="shared" si="0"/>
        <v>98.62215033417769</v>
      </c>
      <c r="AK54">
        <f t="shared" si="0"/>
        <v>101.71129490035707</v>
      </c>
      <c r="AL54">
        <f t="shared" si="0"/>
        <v>98.298104800561561</v>
      </c>
      <c r="AM54">
        <f t="shared" si="0"/>
        <v>98.332468642231547</v>
      </c>
      <c r="AN54">
        <f t="shared" si="0"/>
        <v>98.770958586382662</v>
      </c>
      <c r="AO54">
        <f t="shared" si="0"/>
        <v>108.04815820795311</v>
      </c>
      <c r="AP54">
        <f t="shared" si="0"/>
        <v>105.79149754325999</v>
      </c>
      <c r="AQ54">
        <f t="shared" si="0"/>
        <v>93.790643024994679</v>
      </c>
      <c r="AR54">
        <f t="shared" si="0"/>
        <v>98.249153111362048</v>
      </c>
      <c r="AS54">
        <f t="shared" si="0"/>
        <v>93.061922055726811</v>
      </c>
      <c r="AT54">
        <f t="shared" si="0"/>
        <v>105.37754448072754</v>
      </c>
      <c r="AU54">
        <f t="shared" si="0"/>
        <v>106.21393475142669</v>
      </c>
      <c r="AV54">
        <f t="shared" si="0"/>
        <v>98.222663045136869</v>
      </c>
      <c r="AW54">
        <f t="shared" si="0"/>
        <v>101.04788354136787</v>
      </c>
      <c r="AX54">
        <f t="shared" si="0"/>
        <v>98.803430280465093</v>
      </c>
      <c r="AY54">
        <f t="shared" si="0"/>
        <v>99.794122135074943</v>
      </c>
      <c r="AZ54">
        <f t="shared" si="0"/>
        <v>102.74916837061677</v>
      </c>
      <c r="BA54">
        <f t="shared" si="0"/>
        <v>106.92818994720299</v>
      </c>
      <c r="BB54">
        <f t="shared" si="0"/>
        <v>96.999664296395792</v>
      </c>
      <c r="BC54">
        <f t="shared" si="0"/>
        <v>99.740409558397147</v>
      </c>
      <c r="BD54">
        <f t="shared" si="0"/>
        <v>98.310495315408758</v>
      </c>
      <c r="BE54">
        <f t="shared" si="0"/>
        <v>101.2357554857021</v>
      </c>
      <c r="BF54">
        <f t="shared" si="0"/>
        <v>99.512619403668324</v>
      </c>
      <c r="BG54">
        <f t="shared" si="0"/>
        <v>92.649739066743933</v>
      </c>
      <c r="BH54">
        <f t="shared" si="0"/>
        <v>95.96594134342476</v>
      </c>
      <c r="BI54">
        <f t="shared" si="0"/>
        <v>105.94152653584402</v>
      </c>
      <c r="BJ54">
        <f t="shared" si="0"/>
        <v>99.921201208532949</v>
      </c>
      <c r="BK54">
        <f t="shared" si="0"/>
        <v>97.23111667226172</v>
      </c>
      <c r="BL54">
        <f t="shared" si="0"/>
        <v>100.65230262153995</v>
      </c>
      <c r="BM54">
        <f t="shared" ref="BM54:CV54" si="1">AVERAGE(BM3:BM52)</f>
        <v>103.03964354380931</v>
      </c>
      <c r="BN54">
        <f t="shared" si="1"/>
        <v>101.81939146092104</v>
      </c>
      <c r="BO54">
        <f t="shared" si="1"/>
        <v>99.963316751609824</v>
      </c>
      <c r="BP54">
        <f t="shared" si="1"/>
        <v>107.15207373271888</v>
      </c>
      <c r="BQ54">
        <f t="shared" si="1"/>
        <v>109.52122562334054</v>
      </c>
      <c r="BR54">
        <f t="shared" si="1"/>
        <v>96.224250007629621</v>
      </c>
      <c r="BS54">
        <f t="shared" si="1"/>
        <v>105.83526108584857</v>
      </c>
      <c r="BT54">
        <f t="shared" si="1"/>
        <v>92.376903592028569</v>
      </c>
      <c r="BU54">
        <f t="shared" si="1"/>
        <v>99.017548142948712</v>
      </c>
      <c r="BV54">
        <f t="shared" si="1"/>
        <v>101.13150425733205</v>
      </c>
      <c r="BW54">
        <f t="shared" si="1"/>
        <v>102.18402661214026</v>
      </c>
      <c r="BX54">
        <f t="shared" si="1"/>
        <v>100.34900967436748</v>
      </c>
      <c r="BY54">
        <f t="shared" si="1"/>
        <v>107.36783959471418</v>
      </c>
      <c r="BZ54">
        <f t="shared" si="1"/>
        <v>107.32352671895504</v>
      </c>
      <c r="CA54">
        <f t="shared" si="1"/>
        <v>99.763359477523096</v>
      </c>
      <c r="CB54">
        <f t="shared" si="1"/>
        <v>89.495345927304911</v>
      </c>
      <c r="CC54">
        <f t="shared" si="1"/>
        <v>105.21823786126282</v>
      </c>
      <c r="CD54">
        <f t="shared" si="1"/>
        <v>99.066133610034498</v>
      </c>
      <c r="CE54">
        <f t="shared" si="1"/>
        <v>97.162022766808093</v>
      </c>
      <c r="CF54">
        <f t="shared" si="1"/>
        <v>103.89782403027442</v>
      </c>
      <c r="CG54">
        <f t="shared" si="1"/>
        <v>100.78933072908721</v>
      </c>
      <c r="CH54">
        <f t="shared" si="1"/>
        <v>90.308297982726543</v>
      </c>
      <c r="CI54">
        <f t="shared" si="1"/>
        <v>98.697347941526516</v>
      </c>
      <c r="CJ54">
        <f t="shared" si="1"/>
        <v>94.10290841395306</v>
      </c>
      <c r="CK54">
        <f t="shared" si="1"/>
        <v>91.931333353679008</v>
      </c>
      <c r="CL54">
        <f t="shared" si="1"/>
        <v>105.01876888332775</v>
      </c>
      <c r="CM54">
        <f t="shared" si="1"/>
        <v>101.91436506241033</v>
      </c>
      <c r="CN54">
        <f t="shared" si="1"/>
        <v>101.13803521835993</v>
      </c>
      <c r="CO54">
        <f t="shared" si="1"/>
        <v>98.593157750175465</v>
      </c>
      <c r="CP54">
        <f t="shared" si="1"/>
        <v>100.27466658528401</v>
      </c>
      <c r="CQ54">
        <f t="shared" si="1"/>
        <v>98.805322428052619</v>
      </c>
      <c r="CR54">
        <f t="shared" si="1"/>
        <v>101.33585619678334</v>
      </c>
      <c r="CS54">
        <f t="shared" si="1"/>
        <v>102.8297372356334</v>
      </c>
      <c r="CT54">
        <f t="shared" si="1"/>
        <v>96.74074526200144</v>
      </c>
      <c r="CU54">
        <f t="shared" si="1"/>
        <v>92.888760032960022</v>
      </c>
      <c r="CV54">
        <f t="shared" si="1"/>
        <v>99.614185003204454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6"/>
  <dimension ref="A1:CV54"/>
  <sheetViews>
    <sheetView workbookViewId="0"/>
  </sheetViews>
  <sheetFormatPr defaultRowHeight="15" x14ac:dyDescent="0.25"/>
  <cols>
    <col min="1" max="100" width="3.85546875" customWidth="1"/>
  </cols>
  <sheetData>
    <row r="1" spans="1:100" x14ac:dyDescent="0.25">
      <c r="A1" s="1" t="s">
        <v>492</v>
      </c>
    </row>
    <row r="3" spans="1:100" x14ac:dyDescent="0.25">
      <c r="A3">
        <v>1</v>
      </c>
      <c r="B3">
        <v>1</v>
      </c>
      <c r="C3">
        <v>2</v>
      </c>
      <c r="D3">
        <v>0</v>
      </c>
      <c r="E3">
        <v>1</v>
      </c>
      <c r="F3">
        <v>1</v>
      </c>
      <c r="G3">
        <v>0</v>
      </c>
      <c r="H3">
        <v>1</v>
      </c>
      <c r="I3">
        <v>0</v>
      </c>
      <c r="J3">
        <v>2</v>
      </c>
      <c r="K3">
        <v>0</v>
      </c>
      <c r="L3">
        <v>4</v>
      </c>
      <c r="M3">
        <v>0</v>
      </c>
      <c r="N3">
        <v>1</v>
      </c>
      <c r="O3">
        <v>0</v>
      </c>
      <c r="P3">
        <v>0</v>
      </c>
      <c r="Q3">
        <v>2</v>
      </c>
      <c r="R3">
        <v>0</v>
      </c>
      <c r="S3">
        <v>1</v>
      </c>
      <c r="T3">
        <v>1</v>
      </c>
      <c r="U3">
        <v>0</v>
      </c>
      <c r="V3">
        <v>2</v>
      </c>
      <c r="W3">
        <v>1</v>
      </c>
      <c r="X3">
        <v>1</v>
      </c>
      <c r="Y3">
        <v>0</v>
      </c>
      <c r="Z3">
        <v>1</v>
      </c>
      <c r="AA3">
        <v>1</v>
      </c>
      <c r="AB3">
        <v>2</v>
      </c>
      <c r="AC3">
        <v>0</v>
      </c>
      <c r="AD3">
        <v>0</v>
      </c>
      <c r="AE3">
        <v>2</v>
      </c>
      <c r="AF3">
        <v>1</v>
      </c>
      <c r="AG3">
        <v>0</v>
      </c>
      <c r="AH3">
        <v>0</v>
      </c>
      <c r="AI3">
        <v>0</v>
      </c>
      <c r="AJ3">
        <v>1</v>
      </c>
      <c r="AK3">
        <v>1</v>
      </c>
      <c r="AL3">
        <v>0</v>
      </c>
      <c r="AM3">
        <v>0</v>
      </c>
      <c r="AN3">
        <v>0</v>
      </c>
      <c r="AO3">
        <v>1</v>
      </c>
      <c r="AP3">
        <v>0</v>
      </c>
      <c r="AQ3">
        <v>0</v>
      </c>
      <c r="AR3">
        <v>0</v>
      </c>
      <c r="AS3">
        <v>1</v>
      </c>
      <c r="AT3">
        <v>0</v>
      </c>
      <c r="AU3">
        <v>0</v>
      </c>
      <c r="AV3">
        <v>0</v>
      </c>
      <c r="AW3">
        <v>1</v>
      </c>
      <c r="AX3">
        <v>0</v>
      </c>
      <c r="AY3">
        <v>0</v>
      </c>
      <c r="AZ3">
        <v>1</v>
      </c>
      <c r="BA3">
        <v>0</v>
      </c>
      <c r="BB3">
        <v>0</v>
      </c>
      <c r="BC3">
        <v>0</v>
      </c>
      <c r="BD3">
        <v>1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2</v>
      </c>
      <c r="BP3">
        <v>0</v>
      </c>
      <c r="BQ3">
        <v>0</v>
      </c>
      <c r="BR3">
        <v>1</v>
      </c>
      <c r="BS3">
        <v>0</v>
      </c>
      <c r="BT3">
        <v>1</v>
      </c>
      <c r="BU3">
        <v>0</v>
      </c>
      <c r="BV3">
        <v>0</v>
      </c>
      <c r="BW3">
        <v>0</v>
      </c>
      <c r="BX3">
        <v>1</v>
      </c>
      <c r="BY3">
        <v>0</v>
      </c>
      <c r="BZ3">
        <v>0</v>
      </c>
      <c r="CA3">
        <v>2</v>
      </c>
      <c r="CB3">
        <v>0</v>
      </c>
      <c r="CC3">
        <v>1</v>
      </c>
      <c r="CD3">
        <v>0</v>
      </c>
      <c r="CE3">
        <v>1</v>
      </c>
      <c r="CF3">
        <v>2</v>
      </c>
      <c r="CG3">
        <v>0</v>
      </c>
      <c r="CH3">
        <v>0</v>
      </c>
      <c r="CI3">
        <v>1</v>
      </c>
      <c r="CJ3">
        <v>0</v>
      </c>
      <c r="CK3">
        <v>0</v>
      </c>
      <c r="CL3">
        <v>1</v>
      </c>
      <c r="CM3">
        <v>1</v>
      </c>
      <c r="CN3">
        <v>0</v>
      </c>
      <c r="CO3">
        <v>0</v>
      </c>
      <c r="CP3">
        <v>0</v>
      </c>
      <c r="CQ3">
        <v>3</v>
      </c>
      <c r="CR3">
        <v>0</v>
      </c>
      <c r="CS3">
        <v>0</v>
      </c>
      <c r="CT3">
        <v>0</v>
      </c>
      <c r="CU3">
        <v>1</v>
      </c>
      <c r="CV3">
        <v>0</v>
      </c>
    </row>
    <row r="4" spans="1:100" x14ac:dyDescent="0.25">
      <c r="A4">
        <v>0</v>
      </c>
      <c r="B4">
        <v>1</v>
      </c>
      <c r="C4">
        <v>0</v>
      </c>
      <c r="D4">
        <v>1</v>
      </c>
      <c r="E4">
        <v>1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1</v>
      </c>
      <c r="M4">
        <v>0</v>
      </c>
      <c r="N4">
        <v>1</v>
      </c>
      <c r="O4">
        <v>2</v>
      </c>
      <c r="P4">
        <v>0</v>
      </c>
      <c r="Q4">
        <v>0</v>
      </c>
      <c r="R4">
        <v>0</v>
      </c>
      <c r="S4">
        <v>1</v>
      </c>
      <c r="T4">
        <v>1</v>
      </c>
      <c r="U4">
        <v>2</v>
      </c>
      <c r="V4">
        <v>0</v>
      </c>
      <c r="W4">
        <v>0</v>
      </c>
      <c r="X4">
        <v>0</v>
      </c>
      <c r="Y4">
        <v>1</v>
      </c>
      <c r="Z4">
        <v>1</v>
      </c>
      <c r="AA4">
        <v>0</v>
      </c>
      <c r="AB4">
        <v>2</v>
      </c>
      <c r="AC4">
        <v>1</v>
      </c>
      <c r="AD4">
        <v>0</v>
      </c>
      <c r="AE4">
        <v>2</v>
      </c>
      <c r="AF4">
        <v>0</v>
      </c>
      <c r="AG4">
        <v>0</v>
      </c>
      <c r="AH4">
        <v>1</v>
      </c>
      <c r="AI4">
        <v>2</v>
      </c>
      <c r="AJ4">
        <v>0</v>
      </c>
      <c r="AK4">
        <v>0</v>
      </c>
      <c r="AL4">
        <v>0</v>
      </c>
      <c r="AM4">
        <v>0</v>
      </c>
      <c r="AN4">
        <v>1</v>
      </c>
      <c r="AO4">
        <v>0</v>
      </c>
      <c r="AP4">
        <v>0</v>
      </c>
      <c r="AQ4">
        <v>0</v>
      </c>
      <c r="AR4">
        <v>1</v>
      </c>
      <c r="AS4">
        <v>1</v>
      </c>
      <c r="AT4">
        <v>0</v>
      </c>
      <c r="AU4">
        <v>1</v>
      </c>
      <c r="AV4">
        <v>3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2</v>
      </c>
      <c r="BE4">
        <v>0</v>
      </c>
      <c r="BF4">
        <v>1</v>
      </c>
      <c r="BG4">
        <v>0</v>
      </c>
      <c r="BH4">
        <v>1</v>
      </c>
      <c r="BI4">
        <v>0</v>
      </c>
      <c r="BJ4">
        <v>1</v>
      </c>
      <c r="BK4">
        <v>1</v>
      </c>
      <c r="BL4">
        <v>1</v>
      </c>
      <c r="BM4">
        <v>0</v>
      </c>
      <c r="BN4">
        <v>0</v>
      </c>
      <c r="BO4">
        <v>0</v>
      </c>
      <c r="BP4">
        <v>0</v>
      </c>
      <c r="BQ4">
        <v>1</v>
      </c>
      <c r="BR4">
        <v>1</v>
      </c>
      <c r="BS4">
        <v>0</v>
      </c>
      <c r="BT4">
        <v>0</v>
      </c>
      <c r="BU4">
        <v>0</v>
      </c>
      <c r="BV4">
        <v>1</v>
      </c>
      <c r="BW4">
        <v>0</v>
      </c>
      <c r="BX4">
        <v>0</v>
      </c>
      <c r="BY4">
        <v>0</v>
      </c>
      <c r="BZ4">
        <v>0</v>
      </c>
      <c r="CA4">
        <v>1</v>
      </c>
      <c r="CB4">
        <v>1</v>
      </c>
      <c r="CC4">
        <v>0</v>
      </c>
      <c r="CD4">
        <v>0</v>
      </c>
      <c r="CE4">
        <v>4</v>
      </c>
      <c r="CF4">
        <v>0</v>
      </c>
      <c r="CG4">
        <v>1</v>
      </c>
      <c r="CH4">
        <v>1</v>
      </c>
      <c r="CI4">
        <v>0</v>
      </c>
      <c r="CJ4">
        <v>1</v>
      </c>
      <c r="CK4">
        <v>0</v>
      </c>
      <c r="CL4">
        <v>1</v>
      </c>
      <c r="CM4">
        <v>0</v>
      </c>
      <c r="CN4">
        <v>1</v>
      </c>
      <c r="CO4">
        <v>1</v>
      </c>
      <c r="CP4">
        <v>1</v>
      </c>
      <c r="CQ4">
        <v>0</v>
      </c>
      <c r="CR4">
        <v>0</v>
      </c>
      <c r="CS4">
        <v>0</v>
      </c>
      <c r="CT4">
        <v>1</v>
      </c>
      <c r="CU4">
        <v>0</v>
      </c>
      <c r="CV4">
        <v>0</v>
      </c>
    </row>
    <row r="5" spans="1:100" x14ac:dyDescent="0.25">
      <c r="A5">
        <v>0</v>
      </c>
      <c r="B5">
        <v>1</v>
      </c>
      <c r="C5">
        <v>2</v>
      </c>
      <c r="D5">
        <v>0</v>
      </c>
      <c r="E5">
        <v>0</v>
      </c>
      <c r="F5">
        <v>1</v>
      </c>
      <c r="G5">
        <v>0</v>
      </c>
      <c r="H5">
        <v>1</v>
      </c>
      <c r="I5">
        <v>0</v>
      </c>
      <c r="J5">
        <v>1</v>
      </c>
      <c r="K5">
        <v>0</v>
      </c>
      <c r="L5">
        <v>1</v>
      </c>
      <c r="M5">
        <v>0</v>
      </c>
      <c r="N5">
        <v>0</v>
      </c>
      <c r="O5">
        <v>0</v>
      </c>
      <c r="P5">
        <v>2</v>
      </c>
      <c r="Q5">
        <v>2</v>
      </c>
      <c r="R5">
        <v>1</v>
      </c>
      <c r="S5">
        <v>0</v>
      </c>
      <c r="T5">
        <v>0</v>
      </c>
      <c r="U5">
        <v>0</v>
      </c>
      <c r="V5">
        <v>1</v>
      </c>
      <c r="W5">
        <v>1</v>
      </c>
      <c r="X5">
        <v>1</v>
      </c>
      <c r="Y5">
        <v>0</v>
      </c>
      <c r="Z5">
        <v>2</v>
      </c>
      <c r="AA5">
        <v>0</v>
      </c>
      <c r="AB5">
        <v>1</v>
      </c>
      <c r="AC5">
        <v>0</v>
      </c>
      <c r="AD5">
        <v>0</v>
      </c>
      <c r="AE5">
        <v>1</v>
      </c>
      <c r="AF5">
        <v>0</v>
      </c>
      <c r="AG5">
        <v>0</v>
      </c>
      <c r="AH5">
        <v>0</v>
      </c>
      <c r="AI5">
        <v>0</v>
      </c>
      <c r="AJ5">
        <v>0</v>
      </c>
      <c r="AK5">
        <v>1</v>
      </c>
      <c r="AL5">
        <v>1</v>
      </c>
      <c r="AM5">
        <v>2</v>
      </c>
      <c r="AN5">
        <v>0</v>
      </c>
      <c r="AO5">
        <v>0</v>
      </c>
      <c r="AP5">
        <v>0</v>
      </c>
      <c r="AQ5">
        <v>1</v>
      </c>
      <c r="AR5">
        <v>1</v>
      </c>
      <c r="AS5">
        <v>0</v>
      </c>
      <c r="AT5">
        <v>0</v>
      </c>
      <c r="AU5">
        <v>1</v>
      </c>
      <c r="AV5">
        <v>0</v>
      </c>
      <c r="AW5">
        <v>0</v>
      </c>
      <c r="AX5">
        <v>1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1</v>
      </c>
      <c r="BJ5">
        <v>0</v>
      </c>
      <c r="BK5">
        <v>0</v>
      </c>
      <c r="BL5">
        <v>1</v>
      </c>
      <c r="BM5">
        <v>1</v>
      </c>
      <c r="BN5">
        <v>0</v>
      </c>
      <c r="BO5">
        <v>0</v>
      </c>
      <c r="BP5">
        <v>1</v>
      </c>
      <c r="BQ5">
        <v>1</v>
      </c>
      <c r="BR5">
        <v>0</v>
      </c>
      <c r="BS5">
        <v>0</v>
      </c>
      <c r="BT5">
        <v>0</v>
      </c>
      <c r="BU5">
        <v>0</v>
      </c>
      <c r="BV5">
        <v>1</v>
      </c>
      <c r="BW5">
        <v>0</v>
      </c>
      <c r="BX5">
        <v>0</v>
      </c>
      <c r="BY5">
        <v>1</v>
      </c>
      <c r="BZ5">
        <v>1</v>
      </c>
      <c r="CA5">
        <v>0</v>
      </c>
      <c r="CB5">
        <v>2</v>
      </c>
      <c r="CC5">
        <v>0</v>
      </c>
      <c r="CD5">
        <v>0</v>
      </c>
      <c r="CE5">
        <v>0</v>
      </c>
      <c r="CF5">
        <v>1</v>
      </c>
      <c r="CG5">
        <v>0</v>
      </c>
      <c r="CH5">
        <v>0</v>
      </c>
      <c r="CI5">
        <v>0</v>
      </c>
      <c r="CJ5">
        <v>1</v>
      </c>
      <c r="CK5">
        <v>0</v>
      </c>
      <c r="CL5">
        <v>1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1</v>
      </c>
      <c r="CU5">
        <v>0</v>
      </c>
      <c r="CV5">
        <v>0</v>
      </c>
    </row>
    <row r="6" spans="1:100" x14ac:dyDescent="0.25">
      <c r="A6">
        <v>0</v>
      </c>
      <c r="B6">
        <v>0</v>
      </c>
      <c r="C6">
        <v>1</v>
      </c>
      <c r="D6">
        <v>1</v>
      </c>
      <c r="E6">
        <v>1</v>
      </c>
      <c r="F6">
        <v>0</v>
      </c>
      <c r="G6">
        <v>2</v>
      </c>
      <c r="H6">
        <v>0</v>
      </c>
      <c r="I6">
        <v>1</v>
      </c>
      <c r="J6">
        <v>0</v>
      </c>
      <c r="K6">
        <v>1</v>
      </c>
      <c r="L6">
        <v>0</v>
      </c>
      <c r="M6">
        <v>0</v>
      </c>
      <c r="N6">
        <v>0</v>
      </c>
      <c r="O6">
        <v>0</v>
      </c>
      <c r="P6">
        <v>2</v>
      </c>
      <c r="Q6">
        <v>2</v>
      </c>
      <c r="R6">
        <v>0</v>
      </c>
      <c r="S6">
        <v>0</v>
      </c>
      <c r="T6">
        <v>0</v>
      </c>
      <c r="U6">
        <v>0</v>
      </c>
      <c r="V6">
        <v>1</v>
      </c>
      <c r="W6">
        <v>0</v>
      </c>
      <c r="X6">
        <v>0</v>
      </c>
      <c r="Y6">
        <v>0</v>
      </c>
      <c r="Z6">
        <v>0</v>
      </c>
      <c r="AA6">
        <v>0</v>
      </c>
      <c r="AB6">
        <v>1</v>
      </c>
      <c r="AC6">
        <v>1</v>
      </c>
      <c r="AD6">
        <v>0</v>
      </c>
      <c r="AE6">
        <v>2</v>
      </c>
      <c r="AF6">
        <v>0</v>
      </c>
      <c r="AG6">
        <v>2</v>
      </c>
      <c r="AH6">
        <v>2</v>
      </c>
      <c r="AI6">
        <v>0</v>
      </c>
      <c r="AJ6">
        <v>0</v>
      </c>
      <c r="AK6">
        <v>0</v>
      </c>
      <c r="AL6">
        <v>1</v>
      </c>
      <c r="AM6">
        <v>0</v>
      </c>
      <c r="AN6">
        <v>0</v>
      </c>
      <c r="AO6">
        <v>0</v>
      </c>
      <c r="AP6">
        <v>0</v>
      </c>
      <c r="AQ6">
        <v>1</v>
      </c>
      <c r="AR6">
        <v>0</v>
      </c>
      <c r="AS6">
        <v>0</v>
      </c>
      <c r="AT6">
        <v>1</v>
      </c>
      <c r="AU6">
        <v>0</v>
      </c>
      <c r="AV6">
        <v>0</v>
      </c>
      <c r="AW6">
        <v>1</v>
      </c>
      <c r="AX6">
        <v>0</v>
      </c>
      <c r="AY6">
        <v>1</v>
      </c>
      <c r="AZ6">
        <v>0</v>
      </c>
      <c r="BA6">
        <v>0</v>
      </c>
      <c r="BB6">
        <v>1</v>
      </c>
      <c r="BC6">
        <v>0</v>
      </c>
      <c r="BD6">
        <v>0</v>
      </c>
      <c r="BE6">
        <v>1</v>
      </c>
      <c r="BF6">
        <v>1</v>
      </c>
      <c r="BG6">
        <v>0</v>
      </c>
      <c r="BH6">
        <v>1</v>
      </c>
      <c r="BI6">
        <v>0</v>
      </c>
      <c r="BJ6">
        <v>0</v>
      </c>
      <c r="BK6">
        <v>0</v>
      </c>
      <c r="BL6">
        <v>1</v>
      </c>
      <c r="BM6">
        <v>0</v>
      </c>
      <c r="BN6">
        <v>1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1</v>
      </c>
      <c r="BX6">
        <v>1</v>
      </c>
      <c r="BY6">
        <v>1</v>
      </c>
      <c r="BZ6">
        <v>0</v>
      </c>
      <c r="CA6">
        <v>0</v>
      </c>
      <c r="CB6">
        <v>0</v>
      </c>
      <c r="CC6">
        <v>2</v>
      </c>
      <c r="CD6">
        <v>1</v>
      </c>
      <c r="CE6">
        <v>1</v>
      </c>
      <c r="CF6">
        <v>0</v>
      </c>
      <c r="CG6">
        <v>0</v>
      </c>
      <c r="CH6">
        <v>0</v>
      </c>
      <c r="CI6">
        <v>0</v>
      </c>
      <c r="CJ6">
        <v>1</v>
      </c>
      <c r="CK6">
        <v>0</v>
      </c>
      <c r="CL6">
        <v>1</v>
      </c>
      <c r="CM6">
        <v>0</v>
      </c>
      <c r="CN6">
        <v>1</v>
      </c>
      <c r="CO6">
        <v>1</v>
      </c>
      <c r="CP6">
        <v>1</v>
      </c>
      <c r="CQ6">
        <v>0</v>
      </c>
      <c r="CR6">
        <v>3</v>
      </c>
      <c r="CS6">
        <v>1</v>
      </c>
      <c r="CT6">
        <v>0</v>
      </c>
      <c r="CU6">
        <v>2</v>
      </c>
      <c r="CV6">
        <v>0</v>
      </c>
    </row>
    <row r="7" spans="1:100" x14ac:dyDescent="0.25">
      <c r="A7">
        <v>0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1</v>
      </c>
      <c r="N7">
        <v>0</v>
      </c>
      <c r="O7">
        <v>0</v>
      </c>
      <c r="P7">
        <v>1</v>
      </c>
      <c r="Q7">
        <v>0</v>
      </c>
      <c r="R7">
        <v>0</v>
      </c>
      <c r="S7">
        <v>0</v>
      </c>
      <c r="T7">
        <v>0</v>
      </c>
      <c r="U7">
        <v>2</v>
      </c>
      <c r="V7">
        <v>0</v>
      </c>
      <c r="W7">
        <v>1</v>
      </c>
      <c r="X7">
        <v>0</v>
      </c>
      <c r="Y7">
        <v>0</v>
      </c>
      <c r="Z7">
        <v>0</v>
      </c>
      <c r="AA7">
        <v>0</v>
      </c>
      <c r="AB7">
        <v>1</v>
      </c>
      <c r="AC7">
        <v>0</v>
      </c>
      <c r="AD7">
        <v>1</v>
      </c>
      <c r="AE7">
        <v>0</v>
      </c>
      <c r="AF7">
        <v>0</v>
      </c>
      <c r="AG7">
        <v>2</v>
      </c>
      <c r="AH7">
        <v>0</v>
      </c>
      <c r="AI7">
        <v>0</v>
      </c>
      <c r="AJ7">
        <v>0</v>
      </c>
      <c r="AK7">
        <v>0</v>
      </c>
      <c r="AL7">
        <v>1</v>
      </c>
      <c r="AM7">
        <v>1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2</v>
      </c>
      <c r="AU7">
        <v>0</v>
      </c>
      <c r="AV7">
        <v>2</v>
      </c>
      <c r="AW7">
        <v>0</v>
      </c>
      <c r="AX7">
        <v>2</v>
      </c>
      <c r="AY7">
        <v>0</v>
      </c>
      <c r="AZ7">
        <v>0</v>
      </c>
      <c r="BA7">
        <v>1</v>
      </c>
      <c r="BB7">
        <v>0</v>
      </c>
      <c r="BC7">
        <v>1</v>
      </c>
      <c r="BD7">
        <v>0</v>
      </c>
      <c r="BE7">
        <v>1</v>
      </c>
      <c r="BF7">
        <v>1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1</v>
      </c>
      <c r="BP7">
        <v>0</v>
      </c>
      <c r="BQ7">
        <v>1</v>
      </c>
      <c r="BR7">
        <v>0</v>
      </c>
      <c r="BS7">
        <v>1</v>
      </c>
      <c r="BT7">
        <v>1</v>
      </c>
      <c r="BU7">
        <v>0</v>
      </c>
      <c r="BV7">
        <v>0</v>
      </c>
      <c r="BW7">
        <v>2</v>
      </c>
      <c r="BX7">
        <v>0</v>
      </c>
      <c r="BY7">
        <v>1</v>
      </c>
      <c r="BZ7">
        <v>0</v>
      </c>
      <c r="CA7">
        <v>2</v>
      </c>
      <c r="CB7">
        <v>0</v>
      </c>
      <c r="CC7">
        <v>0</v>
      </c>
      <c r="CD7">
        <v>0</v>
      </c>
      <c r="CE7">
        <v>2</v>
      </c>
      <c r="CF7">
        <v>1</v>
      </c>
      <c r="CG7">
        <v>0</v>
      </c>
      <c r="CH7">
        <v>0</v>
      </c>
      <c r="CI7">
        <v>1</v>
      </c>
      <c r="CJ7">
        <v>0</v>
      </c>
      <c r="CK7">
        <v>0</v>
      </c>
      <c r="CL7">
        <v>0</v>
      </c>
      <c r="CM7">
        <v>1</v>
      </c>
      <c r="CN7">
        <v>0</v>
      </c>
      <c r="CO7">
        <v>0</v>
      </c>
      <c r="CP7">
        <v>1</v>
      </c>
      <c r="CQ7">
        <v>1</v>
      </c>
      <c r="CR7">
        <v>1</v>
      </c>
      <c r="CS7">
        <v>0</v>
      </c>
      <c r="CT7">
        <v>1</v>
      </c>
      <c r="CU7">
        <v>0</v>
      </c>
      <c r="CV7">
        <v>1</v>
      </c>
    </row>
    <row r="8" spans="1:100" x14ac:dyDescent="0.25">
      <c r="A8">
        <v>0</v>
      </c>
      <c r="B8">
        <v>0</v>
      </c>
      <c r="C8">
        <v>0</v>
      </c>
      <c r="D8">
        <v>1</v>
      </c>
      <c r="E8">
        <v>2</v>
      </c>
      <c r="F8">
        <v>0</v>
      </c>
      <c r="G8">
        <v>0</v>
      </c>
      <c r="H8">
        <v>0</v>
      </c>
      <c r="I8">
        <v>0</v>
      </c>
      <c r="J8">
        <v>0</v>
      </c>
      <c r="K8">
        <v>1</v>
      </c>
      <c r="L8">
        <v>0</v>
      </c>
      <c r="M8">
        <v>1</v>
      </c>
      <c r="N8">
        <v>0</v>
      </c>
      <c r="O8">
        <v>1</v>
      </c>
      <c r="P8">
        <v>1</v>
      </c>
      <c r="Q8">
        <v>0</v>
      </c>
      <c r="R8">
        <v>2</v>
      </c>
      <c r="S8">
        <v>1</v>
      </c>
      <c r="T8">
        <v>1</v>
      </c>
      <c r="U8">
        <v>0</v>
      </c>
      <c r="V8">
        <v>0</v>
      </c>
      <c r="W8">
        <v>0</v>
      </c>
      <c r="X8">
        <v>0</v>
      </c>
      <c r="Y8">
        <v>0</v>
      </c>
      <c r="Z8">
        <v>1</v>
      </c>
      <c r="AA8">
        <v>2</v>
      </c>
      <c r="AB8">
        <v>0</v>
      </c>
      <c r="AC8">
        <v>0</v>
      </c>
      <c r="AD8">
        <v>1</v>
      </c>
      <c r="AE8">
        <v>0</v>
      </c>
      <c r="AF8">
        <v>1</v>
      </c>
      <c r="AG8">
        <v>1</v>
      </c>
      <c r="AH8">
        <v>0</v>
      </c>
      <c r="AI8">
        <v>1</v>
      </c>
      <c r="AJ8">
        <v>0</v>
      </c>
      <c r="AK8">
        <v>0</v>
      </c>
      <c r="AL8">
        <v>2</v>
      </c>
      <c r="AM8">
        <v>0</v>
      </c>
      <c r="AN8">
        <v>0</v>
      </c>
      <c r="AO8">
        <v>0</v>
      </c>
      <c r="AP8">
        <v>2</v>
      </c>
      <c r="AQ8">
        <v>0</v>
      </c>
      <c r="AR8">
        <v>0</v>
      </c>
      <c r="AS8">
        <v>1</v>
      </c>
      <c r="AT8">
        <v>0</v>
      </c>
      <c r="AU8">
        <v>0</v>
      </c>
      <c r="AV8">
        <v>0</v>
      </c>
      <c r="AW8">
        <v>1</v>
      </c>
      <c r="AX8">
        <v>1</v>
      </c>
      <c r="AY8">
        <v>1</v>
      </c>
      <c r="AZ8">
        <v>0</v>
      </c>
      <c r="BA8">
        <v>1</v>
      </c>
      <c r="BB8">
        <v>0</v>
      </c>
      <c r="BC8">
        <v>1</v>
      </c>
      <c r="BD8">
        <v>0</v>
      </c>
      <c r="BE8">
        <v>0</v>
      </c>
      <c r="BF8">
        <v>1</v>
      </c>
      <c r="BG8">
        <v>1</v>
      </c>
      <c r="BH8">
        <v>0</v>
      </c>
      <c r="BI8">
        <v>0</v>
      </c>
      <c r="BJ8">
        <v>0</v>
      </c>
      <c r="BK8">
        <v>0</v>
      </c>
      <c r="BL8">
        <v>1</v>
      </c>
      <c r="BM8">
        <v>0</v>
      </c>
      <c r="BN8">
        <v>0</v>
      </c>
      <c r="BO8">
        <v>1</v>
      </c>
      <c r="BP8">
        <v>0</v>
      </c>
      <c r="BQ8">
        <v>1</v>
      </c>
      <c r="BR8">
        <v>0</v>
      </c>
      <c r="BS8">
        <v>0</v>
      </c>
      <c r="BT8">
        <v>0</v>
      </c>
      <c r="BU8">
        <v>1</v>
      </c>
      <c r="BV8">
        <v>0</v>
      </c>
      <c r="BW8">
        <v>0</v>
      </c>
      <c r="BX8">
        <v>1</v>
      </c>
      <c r="BY8">
        <v>1</v>
      </c>
      <c r="BZ8">
        <v>0</v>
      </c>
      <c r="CA8">
        <v>0</v>
      </c>
      <c r="CB8">
        <v>1</v>
      </c>
      <c r="CC8">
        <v>0</v>
      </c>
      <c r="CD8">
        <v>0</v>
      </c>
      <c r="CE8">
        <v>0</v>
      </c>
      <c r="CF8">
        <v>0</v>
      </c>
      <c r="CG8">
        <v>2</v>
      </c>
      <c r="CH8">
        <v>1</v>
      </c>
      <c r="CI8">
        <v>0</v>
      </c>
      <c r="CJ8">
        <v>1</v>
      </c>
      <c r="CK8">
        <v>0</v>
      </c>
      <c r="CL8">
        <v>1</v>
      </c>
      <c r="CM8">
        <v>0</v>
      </c>
      <c r="CN8">
        <v>1</v>
      </c>
      <c r="CO8">
        <v>0</v>
      </c>
      <c r="CP8">
        <v>1</v>
      </c>
      <c r="CQ8">
        <v>1</v>
      </c>
      <c r="CR8">
        <v>0</v>
      </c>
      <c r="CS8">
        <v>1</v>
      </c>
      <c r="CT8">
        <v>0</v>
      </c>
      <c r="CU8">
        <v>1</v>
      </c>
      <c r="CV8">
        <v>0</v>
      </c>
    </row>
    <row r="9" spans="1:100" x14ac:dyDescent="0.25">
      <c r="A9">
        <v>1</v>
      </c>
      <c r="B9">
        <v>1</v>
      </c>
      <c r="C9">
        <v>1</v>
      </c>
      <c r="D9">
        <v>1</v>
      </c>
      <c r="E9">
        <v>0</v>
      </c>
      <c r="F9">
        <v>2</v>
      </c>
      <c r="G9">
        <v>0</v>
      </c>
      <c r="H9">
        <v>0</v>
      </c>
      <c r="I9">
        <v>1</v>
      </c>
      <c r="J9">
        <v>1</v>
      </c>
      <c r="K9">
        <v>1</v>
      </c>
      <c r="L9">
        <v>1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1</v>
      </c>
      <c r="U9">
        <v>1</v>
      </c>
      <c r="V9">
        <v>0</v>
      </c>
      <c r="W9">
        <v>1</v>
      </c>
      <c r="X9">
        <v>0</v>
      </c>
      <c r="Y9">
        <v>0</v>
      </c>
      <c r="Z9">
        <v>0</v>
      </c>
      <c r="AA9">
        <v>1</v>
      </c>
      <c r="AB9">
        <v>0</v>
      </c>
      <c r="AC9">
        <v>2</v>
      </c>
      <c r="AD9">
        <v>2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1</v>
      </c>
      <c r="AL9">
        <v>0</v>
      </c>
      <c r="AM9">
        <v>2</v>
      </c>
      <c r="AN9">
        <v>0</v>
      </c>
      <c r="AO9">
        <v>0</v>
      </c>
      <c r="AP9">
        <v>2</v>
      </c>
      <c r="AQ9">
        <v>0</v>
      </c>
      <c r="AR9">
        <v>1</v>
      </c>
      <c r="AS9">
        <v>1</v>
      </c>
      <c r="AT9">
        <v>1</v>
      </c>
      <c r="AU9">
        <v>0</v>
      </c>
      <c r="AV9">
        <v>0</v>
      </c>
      <c r="AW9">
        <v>0</v>
      </c>
      <c r="AX9">
        <v>2</v>
      </c>
      <c r="AY9">
        <v>0</v>
      </c>
      <c r="AZ9">
        <v>0</v>
      </c>
      <c r="BA9">
        <v>0</v>
      </c>
      <c r="BB9">
        <v>1</v>
      </c>
      <c r="BC9">
        <v>0</v>
      </c>
      <c r="BD9">
        <v>0</v>
      </c>
      <c r="BE9">
        <v>0</v>
      </c>
      <c r="BF9">
        <v>0</v>
      </c>
      <c r="BG9">
        <v>1</v>
      </c>
      <c r="BH9">
        <v>2</v>
      </c>
      <c r="BI9">
        <v>0</v>
      </c>
      <c r="BJ9">
        <v>0</v>
      </c>
      <c r="BK9">
        <v>0</v>
      </c>
      <c r="BL9">
        <v>0</v>
      </c>
      <c r="BM9">
        <v>0</v>
      </c>
      <c r="BN9">
        <v>1</v>
      </c>
      <c r="BO9">
        <v>0</v>
      </c>
      <c r="BP9">
        <v>1</v>
      </c>
      <c r="BQ9">
        <v>2</v>
      </c>
      <c r="BR9">
        <v>1</v>
      </c>
      <c r="BS9">
        <v>0</v>
      </c>
      <c r="BT9">
        <v>0</v>
      </c>
      <c r="BU9">
        <v>1</v>
      </c>
      <c r="BV9">
        <v>0</v>
      </c>
      <c r="BW9">
        <v>1</v>
      </c>
      <c r="BX9">
        <v>0</v>
      </c>
      <c r="BY9">
        <v>0</v>
      </c>
      <c r="BZ9">
        <v>2</v>
      </c>
      <c r="CA9">
        <v>0</v>
      </c>
      <c r="CB9">
        <v>1</v>
      </c>
      <c r="CC9">
        <v>1</v>
      </c>
      <c r="CD9">
        <v>0</v>
      </c>
      <c r="CE9">
        <v>0</v>
      </c>
      <c r="CF9">
        <v>0</v>
      </c>
      <c r="CG9">
        <v>0</v>
      </c>
      <c r="CH9">
        <v>1</v>
      </c>
      <c r="CI9">
        <v>0</v>
      </c>
      <c r="CJ9">
        <v>1</v>
      </c>
      <c r="CK9">
        <v>1</v>
      </c>
      <c r="CL9">
        <v>0</v>
      </c>
      <c r="CM9">
        <v>1</v>
      </c>
      <c r="CN9">
        <v>0</v>
      </c>
      <c r="CO9">
        <v>0</v>
      </c>
      <c r="CP9">
        <v>0</v>
      </c>
      <c r="CQ9">
        <v>1</v>
      </c>
      <c r="CR9">
        <v>0</v>
      </c>
      <c r="CS9">
        <v>0</v>
      </c>
      <c r="CT9">
        <v>0</v>
      </c>
      <c r="CU9">
        <v>1</v>
      </c>
      <c r="CV9">
        <v>0</v>
      </c>
    </row>
    <row r="10" spans="1:100" x14ac:dyDescent="0.25">
      <c r="A10">
        <v>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1</v>
      </c>
      <c r="U10">
        <v>0</v>
      </c>
      <c r="V10">
        <v>0</v>
      </c>
      <c r="W10">
        <v>0</v>
      </c>
      <c r="X10">
        <v>1</v>
      </c>
      <c r="Y10">
        <v>0</v>
      </c>
      <c r="Z10">
        <v>3</v>
      </c>
      <c r="AA10">
        <v>0</v>
      </c>
      <c r="AB10">
        <v>0</v>
      </c>
      <c r="AC10">
        <v>0</v>
      </c>
      <c r="AD10">
        <v>2</v>
      </c>
      <c r="AE10">
        <v>1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3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1</v>
      </c>
      <c r="AR10">
        <v>2</v>
      </c>
      <c r="AS10">
        <v>1</v>
      </c>
      <c r="AT10">
        <v>0</v>
      </c>
      <c r="AU10">
        <v>0</v>
      </c>
      <c r="AV10">
        <v>0</v>
      </c>
      <c r="AW10">
        <v>0</v>
      </c>
      <c r="AX10">
        <v>1</v>
      </c>
      <c r="AY10">
        <v>0</v>
      </c>
      <c r="AZ10">
        <v>0</v>
      </c>
      <c r="BA10">
        <v>2</v>
      </c>
      <c r="BB10">
        <v>3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1</v>
      </c>
      <c r="BK10">
        <v>0</v>
      </c>
      <c r="BL10">
        <v>0</v>
      </c>
      <c r="BM10">
        <v>0</v>
      </c>
      <c r="BN10">
        <v>2</v>
      </c>
      <c r="BO10">
        <v>0</v>
      </c>
      <c r="BP10">
        <v>1</v>
      </c>
      <c r="BQ10">
        <v>1</v>
      </c>
      <c r="BR10">
        <v>1</v>
      </c>
      <c r="BS10">
        <v>1</v>
      </c>
      <c r="BT10">
        <v>0</v>
      </c>
      <c r="BU10">
        <v>1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1</v>
      </c>
      <c r="CF10">
        <v>0</v>
      </c>
      <c r="CG10">
        <v>0</v>
      </c>
      <c r="CH10">
        <v>1</v>
      </c>
      <c r="CI10">
        <v>1</v>
      </c>
      <c r="CJ10">
        <v>0</v>
      </c>
      <c r="CK10">
        <v>0</v>
      </c>
      <c r="CL10">
        <v>0</v>
      </c>
      <c r="CM10">
        <v>0</v>
      </c>
      <c r="CN10">
        <v>1</v>
      </c>
      <c r="CO10">
        <v>0</v>
      </c>
      <c r="CP10">
        <v>0</v>
      </c>
      <c r="CQ10">
        <v>0</v>
      </c>
      <c r="CR10">
        <v>1</v>
      </c>
      <c r="CS10">
        <v>0</v>
      </c>
      <c r="CT10">
        <v>0</v>
      </c>
      <c r="CU10">
        <v>0</v>
      </c>
      <c r="CV10">
        <v>1</v>
      </c>
    </row>
    <row r="11" spans="1:100" x14ac:dyDescent="0.25">
      <c r="A11">
        <v>0</v>
      </c>
      <c r="B11">
        <v>1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</v>
      </c>
      <c r="K11">
        <v>0</v>
      </c>
      <c r="L11">
        <v>1</v>
      </c>
      <c r="M11">
        <v>1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1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1</v>
      </c>
      <c r="AB11">
        <v>0</v>
      </c>
      <c r="AC11">
        <v>0</v>
      </c>
      <c r="AD11">
        <v>0</v>
      </c>
      <c r="AE11">
        <v>1</v>
      </c>
      <c r="AF11">
        <v>0</v>
      </c>
      <c r="AG11">
        <v>0</v>
      </c>
      <c r="AH11">
        <v>1</v>
      </c>
      <c r="AI11">
        <v>1</v>
      </c>
      <c r="AJ11">
        <v>0</v>
      </c>
      <c r="AK11">
        <v>1</v>
      </c>
      <c r="AL11">
        <v>1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2</v>
      </c>
      <c r="AS11">
        <v>0</v>
      </c>
      <c r="AT11">
        <v>2</v>
      </c>
      <c r="AU11">
        <v>1</v>
      </c>
      <c r="AV11">
        <v>0</v>
      </c>
      <c r="AW11">
        <v>0</v>
      </c>
      <c r="AX11">
        <v>0</v>
      </c>
      <c r="AY11">
        <v>0</v>
      </c>
      <c r="AZ11">
        <v>2</v>
      </c>
      <c r="BA11">
        <v>0</v>
      </c>
      <c r="BB11">
        <v>3</v>
      </c>
      <c r="BC11">
        <v>0</v>
      </c>
      <c r="BD11">
        <v>0</v>
      </c>
      <c r="BE11">
        <v>1</v>
      </c>
      <c r="BF11">
        <v>1</v>
      </c>
      <c r="BG11">
        <v>0</v>
      </c>
      <c r="BH11">
        <v>1</v>
      </c>
      <c r="BI11">
        <v>1</v>
      </c>
      <c r="BJ11">
        <v>1</v>
      </c>
      <c r="BK11">
        <v>1</v>
      </c>
      <c r="BL11">
        <v>0</v>
      </c>
      <c r="BM11">
        <v>0</v>
      </c>
      <c r="BN11">
        <v>1</v>
      </c>
      <c r="BO11">
        <v>0</v>
      </c>
      <c r="BP11">
        <v>0</v>
      </c>
      <c r="BQ11">
        <v>1</v>
      </c>
      <c r="BR11">
        <v>0</v>
      </c>
      <c r="BS11">
        <v>0</v>
      </c>
      <c r="BT11">
        <v>0</v>
      </c>
      <c r="BU11">
        <v>1</v>
      </c>
      <c r="BV11">
        <v>1</v>
      </c>
      <c r="BW11">
        <v>0</v>
      </c>
      <c r="BX11">
        <v>0</v>
      </c>
      <c r="BY11">
        <v>0</v>
      </c>
      <c r="BZ11">
        <v>0</v>
      </c>
      <c r="CA11">
        <v>1</v>
      </c>
      <c r="CB11">
        <v>0</v>
      </c>
      <c r="CC11">
        <v>0</v>
      </c>
      <c r="CD11">
        <v>1</v>
      </c>
      <c r="CE11">
        <v>0</v>
      </c>
      <c r="CF11">
        <v>0</v>
      </c>
      <c r="CG11">
        <v>0</v>
      </c>
      <c r="CH11">
        <v>1</v>
      </c>
      <c r="CI11">
        <v>0</v>
      </c>
      <c r="CJ11">
        <v>1</v>
      </c>
      <c r="CK11">
        <v>0</v>
      </c>
      <c r="CL11">
        <v>0</v>
      </c>
      <c r="CM11">
        <v>1</v>
      </c>
      <c r="CN11">
        <v>1</v>
      </c>
      <c r="CO11">
        <v>1</v>
      </c>
      <c r="CP11">
        <v>1</v>
      </c>
      <c r="CQ11">
        <v>0</v>
      </c>
      <c r="CR11">
        <v>3</v>
      </c>
      <c r="CS11">
        <v>0</v>
      </c>
      <c r="CT11">
        <v>1</v>
      </c>
      <c r="CU11">
        <v>0</v>
      </c>
      <c r="CV11">
        <v>0</v>
      </c>
    </row>
    <row r="12" spans="1:100" x14ac:dyDescent="0.25">
      <c r="A12">
        <v>0</v>
      </c>
      <c r="B12">
        <v>1</v>
      </c>
      <c r="C12">
        <v>1</v>
      </c>
      <c r="D12">
        <v>0</v>
      </c>
      <c r="E12">
        <v>0</v>
      </c>
      <c r="F12">
        <v>0</v>
      </c>
      <c r="G12">
        <v>0</v>
      </c>
      <c r="H12">
        <v>0</v>
      </c>
      <c r="I12">
        <v>1</v>
      </c>
      <c r="J12">
        <v>0</v>
      </c>
      <c r="K12">
        <v>0</v>
      </c>
      <c r="L12">
        <v>1</v>
      </c>
      <c r="M12">
        <v>0</v>
      </c>
      <c r="N12">
        <v>0</v>
      </c>
      <c r="O12">
        <v>0</v>
      </c>
      <c r="P12">
        <v>0</v>
      </c>
      <c r="Q12">
        <v>1</v>
      </c>
      <c r="R12">
        <v>1</v>
      </c>
      <c r="S12">
        <v>0</v>
      </c>
      <c r="T12">
        <v>2</v>
      </c>
      <c r="U12">
        <v>0</v>
      </c>
      <c r="V12">
        <v>1</v>
      </c>
      <c r="W12">
        <v>0</v>
      </c>
      <c r="X12">
        <v>0</v>
      </c>
      <c r="Y12">
        <v>1</v>
      </c>
      <c r="Z12">
        <v>0</v>
      </c>
      <c r="AA12">
        <v>0</v>
      </c>
      <c r="AB12">
        <v>0</v>
      </c>
      <c r="AC12">
        <v>1</v>
      </c>
      <c r="AD12">
        <v>0</v>
      </c>
      <c r="AE12">
        <v>1</v>
      </c>
      <c r="AF12">
        <v>2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1</v>
      </c>
      <c r="AM12">
        <v>0</v>
      </c>
      <c r="AN12">
        <v>1</v>
      </c>
      <c r="AO12">
        <v>0</v>
      </c>
      <c r="AP12">
        <v>0</v>
      </c>
      <c r="AQ12">
        <v>0</v>
      </c>
      <c r="AR12">
        <v>0</v>
      </c>
      <c r="AS12">
        <v>2</v>
      </c>
      <c r="AT12">
        <v>2</v>
      </c>
      <c r="AU12">
        <v>1</v>
      </c>
      <c r="AV12">
        <v>0</v>
      </c>
      <c r="AW12">
        <v>1</v>
      </c>
      <c r="AX12">
        <v>2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1</v>
      </c>
      <c r="BG12">
        <v>0</v>
      </c>
      <c r="BH12">
        <v>0</v>
      </c>
      <c r="BI12">
        <v>1</v>
      </c>
      <c r="BJ12">
        <v>2</v>
      </c>
      <c r="BK12">
        <v>0</v>
      </c>
      <c r="BL12">
        <v>0</v>
      </c>
      <c r="BM12">
        <v>1</v>
      </c>
      <c r="BN12">
        <v>0</v>
      </c>
      <c r="BO12">
        <v>1</v>
      </c>
      <c r="BP12">
        <v>0</v>
      </c>
      <c r="BQ12">
        <v>1</v>
      </c>
      <c r="BR12">
        <v>0</v>
      </c>
      <c r="BS12">
        <v>1</v>
      </c>
      <c r="BT12">
        <v>0</v>
      </c>
      <c r="BU12">
        <v>0</v>
      </c>
      <c r="BV12">
        <v>0</v>
      </c>
      <c r="BW12">
        <v>0</v>
      </c>
      <c r="BX12">
        <v>1</v>
      </c>
      <c r="BY12">
        <v>1</v>
      </c>
      <c r="BZ12">
        <v>0</v>
      </c>
      <c r="CA12">
        <v>2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1</v>
      </c>
      <c r="CI12">
        <v>1</v>
      </c>
      <c r="CJ12">
        <v>0</v>
      </c>
      <c r="CK12">
        <v>0</v>
      </c>
      <c r="CL12">
        <v>1</v>
      </c>
      <c r="CM12">
        <v>0</v>
      </c>
      <c r="CN12">
        <v>1</v>
      </c>
      <c r="CO12">
        <v>0</v>
      </c>
      <c r="CP12">
        <v>0</v>
      </c>
      <c r="CQ12">
        <v>1</v>
      </c>
      <c r="CR12">
        <v>0</v>
      </c>
      <c r="CS12">
        <v>1</v>
      </c>
      <c r="CT12">
        <v>0</v>
      </c>
      <c r="CU12">
        <v>0</v>
      </c>
      <c r="CV12">
        <v>0</v>
      </c>
    </row>
    <row r="13" spans="1:100" x14ac:dyDescent="0.25">
      <c r="A13">
        <v>1</v>
      </c>
      <c r="B13">
        <v>0</v>
      </c>
      <c r="C13">
        <v>1</v>
      </c>
      <c r="D13">
        <v>1</v>
      </c>
      <c r="E13">
        <v>1</v>
      </c>
      <c r="F13">
        <v>1</v>
      </c>
      <c r="G13">
        <v>1</v>
      </c>
      <c r="H13">
        <v>0</v>
      </c>
      <c r="I13">
        <v>0</v>
      </c>
      <c r="J13">
        <v>0</v>
      </c>
      <c r="K13">
        <v>2</v>
      </c>
      <c r="L13">
        <v>0</v>
      </c>
      <c r="M13">
        <v>0</v>
      </c>
      <c r="N13">
        <v>2</v>
      </c>
      <c r="O13">
        <v>0</v>
      </c>
      <c r="P13">
        <v>2</v>
      </c>
      <c r="Q13">
        <v>2</v>
      </c>
      <c r="R13">
        <v>1</v>
      </c>
      <c r="S13">
        <v>1</v>
      </c>
      <c r="T13">
        <v>1</v>
      </c>
      <c r="U13">
        <v>0</v>
      </c>
      <c r="V13">
        <v>1</v>
      </c>
      <c r="W13">
        <v>0</v>
      </c>
      <c r="X13">
        <v>2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1</v>
      </c>
      <c r="AF13">
        <v>0</v>
      </c>
      <c r="AG13">
        <v>0</v>
      </c>
      <c r="AH13">
        <v>0</v>
      </c>
      <c r="AI13">
        <v>1</v>
      </c>
      <c r="AJ13">
        <v>0</v>
      </c>
      <c r="AK13">
        <v>1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1</v>
      </c>
      <c r="BB13">
        <v>2</v>
      </c>
      <c r="BC13">
        <v>0</v>
      </c>
      <c r="BD13">
        <v>0</v>
      </c>
      <c r="BE13">
        <v>1</v>
      </c>
      <c r="BF13">
        <v>2</v>
      </c>
      <c r="BG13">
        <v>0</v>
      </c>
      <c r="BH13">
        <v>0</v>
      </c>
      <c r="BI13">
        <v>0</v>
      </c>
      <c r="BJ13">
        <v>1</v>
      </c>
      <c r="BK13">
        <v>1</v>
      </c>
      <c r="BL13">
        <v>0</v>
      </c>
      <c r="BM13">
        <v>0</v>
      </c>
      <c r="BN13">
        <v>0</v>
      </c>
      <c r="BO13">
        <v>1</v>
      </c>
      <c r="BP13">
        <v>2</v>
      </c>
      <c r="BQ13">
        <v>0</v>
      </c>
      <c r="BR13">
        <v>2</v>
      </c>
      <c r="BS13">
        <v>0</v>
      </c>
      <c r="BT13">
        <v>0</v>
      </c>
      <c r="BU13">
        <v>0</v>
      </c>
      <c r="BV13">
        <v>0</v>
      </c>
      <c r="BW13">
        <v>1</v>
      </c>
      <c r="BX13">
        <v>0</v>
      </c>
      <c r="BY13">
        <v>0</v>
      </c>
      <c r="BZ13">
        <v>0</v>
      </c>
      <c r="CA13">
        <v>1</v>
      </c>
      <c r="CB13">
        <v>1</v>
      </c>
      <c r="CC13">
        <v>2</v>
      </c>
      <c r="CD13">
        <v>0</v>
      </c>
      <c r="CE13">
        <v>3</v>
      </c>
      <c r="CF13">
        <v>2</v>
      </c>
      <c r="CG13">
        <v>2</v>
      </c>
      <c r="CH13">
        <v>0</v>
      </c>
      <c r="CI13">
        <v>0</v>
      </c>
      <c r="CJ13">
        <v>0</v>
      </c>
      <c r="CK13">
        <v>1</v>
      </c>
      <c r="CL13">
        <v>0</v>
      </c>
      <c r="CM13">
        <v>1</v>
      </c>
      <c r="CN13">
        <v>1</v>
      </c>
      <c r="CO13">
        <v>0</v>
      </c>
      <c r="CP13">
        <v>1</v>
      </c>
      <c r="CQ13">
        <v>0</v>
      </c>
      <c r="CR13">
        <v>0</v>
      </c>
      <c r="CS13">
        <v>1</v>
      </c>
      <c r="CT13">
        <v>0</v>
      </c>
      <c r="CU13">
        <v>0</v>
      </c>
      <c r="CV13">
        <v>1</v>
      </c>
    </row>
    <row r="14" spans="1:100" x14ac:dyDescent="0.25">
      <c r="A14">
        <v>1</v>
      </c>
      <c r="B14">
        <v>0</v>
      </c>
      <c r="C14">
        <v>1</v>
      </c>
      <c r="D14">
        <v>2</v>
      </c>
      <c r="E14">
        <v>0</v>
      </c>
      <c r="F14">
        <v>0</v>
      </c>
      <c r="G14">
        <v>3</v>
      </c>
      <c r="H14">
        <v>0</v>
      </c>
      <c r="I14">
        <v>0</v>
      </c>
      <c r="J14">
        <v>0</v>
      </c>
      <c r="K14">
        <v>0</v>
      </c>
      <c r="L14">
        <v>1</v>
      </c>
      <c r="M14">
        <v>1</v>
      </c>
      <c r="N14">
        <v>1</v>
      </c>
      <c r="O14">
        <v>1</v>
      </c>
      <c r="P14">
        <v>1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1</v>
      </c>
      <c r="X14">
        <v>0</v>
      </c>
      <c r="Y14">
        <v>0</v>
      </c>
      <c r="Z14">
        <v>1</v>
      </c>
      <c r="AA14">
        <v>1</v>
      </c>
      <c r="AB14">
        <v>0</v>
      </c>
      <c r="AC14">
        <v>0</v>
      </c>
      <c r="AD14">
        <v>0</v>
      </c>
      <c r="AE14">
        <v>1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1</v>
      </c>
      <c r="AL14">
        <v>2</v>
      </c>
      <c r="AM14">
        <v>1</v>
      </c>
      <c r="AN14">
        <v>0</v>
      </c>
      <c r="AO14">
        <v>2</v>
      </c>
      <c r="AP14">
        <v>1</v>
      </c>
      <c r="AQ14">
        <v>0</v>
      </c>
      <c r="AR14">
        <v>0</v>
      </c>
      <c r="AS14">
        <v>0</v>
      </c>
      <c r="AT14">
        <v>0</v>
      </c>
      <c r="AU14">
        <v>1</v>
      </c>
      <c r="AV14">
        <v>2</v>
      </c>
      <c r="AW14">
        <v>0</v>
      </c>
      <c r="AX14">
        <v>0</v>
      </c>
      <c r="AY14">
        <v>1</v>
      </c>
      <c r="AZ14">
        <v>0</v>
      </c>
      <c r="BA14">
        <v>0</v>
      </c>
      <c r="BB14">
        <v>1</v>
      </c>
      <c r="BC14">
        <v>0</v>
      </c>
      <c r="BD14">
        <v>1</v>
      </c>
      <c r="BE14">
        <v>1</v>
      </c>
      <c r="BF14">
        <v>0</v>
      </c>
      <c r="BG14">
        <v>2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2</v>
      </c>
      <c r="BO14">
        <v>0</v>
      </c>
      <c r="BP14">
        <v>1</v>
      </c>
      <c r="BQ14">
        <v>1</v>
      </c>
      <c r="BR14">
        <v>0</v>
      </c>
      <c r="BS14">
        <v>0</v>
      </c>
      <c r="BT14">
        <v>1</v>
      </c>
      <c r="BU14">
        <v>1</v>
      </c>
      <c r="BV14">
        <v>0</v>
      </c>
      <c r="BW14">
        <v>0</v>
      </c>
      <c r="BX14">
        <v>1</v>
      </c>
      <c r="BY14">
        <v>2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2</v>
      </c>
      <c r="CJ14">
        <v>1</v>
      </c>
      <c r="CK14">
        <v>1</v>
      </c>
      <c r="CL14">
        <v>2</v>
      </c>
      <c r="CM14">
        <v>0</v>
      </c>
      <c r="CN14">
        <v>0</v>
      </c>
      <c r="CO14">
        <v>3</v>
      </c>
      <c r="CP14">
        <v>1</v>
      </c>
      <c r="CQ14">
        <v>0</v>
      </c>
      <c r="CR14">
        <v>0</v>
      </c>
      <c r="CS14">
        <v>2</v>
      </c>
      <c r="CT14">
        <v>1</v>
      </c>
      <c r="CU14">
        <v>0</v>
      </c>
      <c r="CV14">
        <v>1</v>
      </c>
    </row>
    <row r="15" spans="1:100" x14ac:dyDescent="0.25">
      <c r="A15">
        <v>1</v>
      </c>
      <c r="B15">
        <v>0</v>
      </c>
      <c r="C15">
        <v>1</v>
      </c>
      <c r="D15">
        <v>1</v>
      </c>
      <c r="E15">
        <v>1</v>
      </c>
      <c r="F15">
        <v>1</v>
      </c>
      <c r="G15">
        <v>0</v>
      </c>
      <c r="H15">
        <v>0</v>
      </c>
      <c r="I15">
        <v>1</v>
      </c>
      <c r="J15">
        <v>0</v>
      </c>
      <c r="K15">
        <v>1</v>
      </c>
      <c r="L15">
        <v>0</v>
      </c>
      <c r="M15">
        <v>0</v>
      </c>
      <c r="N15">
        <v>0</v>
      </c>
      <c r="O15">
        <v>0</v>
      </c>
      <c r="P15">
        <v>2</v>
      </c>
      <c r="Q15">
        <v>2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1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0</v>
      </c>
      <c r="AL15">
        <v>1</v>
      </c>
      <c r="AM15">
        <v>0</v>
      </c>
      <c r="AN15">
        <v>0</v>
      </c>
      <c r="AO15">
        <v>1</v>
      </c>
      <c r="AP15">
        <v>2</v>
      </c>
      <c r="AQ15">
        <v>0</v>
      </c>
      <c r="AR15">
        <v>1</v>
      </c>
      <c r="AS15">
        <v>0</v>
      </c>
      <c r="AT15">
        <v>0</v>
      </c>
      <c r="AU15">
        <v>0</v>
      </c>
      <c r="AV15">
        <v>0</v>
      </c>
      <c r="AW15">
        <v>1</v>
      </c>
      <c r="AX15">
        <v>1</v>
      </c>
      <c r="AY15">
        <v>1</v>
      </c>
      <c r="AZ15">
        <v>1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1</v>
      </c>
      <c r="BG15">
        <v>0</v>
      </c>
      <c r="BH15">
        <v>0</v>
      </c>
      <c r="BI15">
        <v>0</v>
      </c>
      <c r="BJ15">
        <v>0</v>
      </c>
      <c r="BK15">
        <v>1</v>
      </c>
      <c r="BL15">
        <v>0</v>
      </c>
      <c r="BM15">
        <v>0</v>
      </c>
      <c r="BN15">
        <v>0</v>
      </c>
      <c r="BO15">
        <v>1</v>
      </c>
      <c r="BP15">
        <v>0</v>
      </c>
      <c r="BQ15">
        <v>0</v>
      </c>
      <c r="BR15">
        <v>0</v>
      </c>
      <c r="BS15">
        <v>0</v>
      </c>
      <c r="BT15">
        <v>1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1</v>
      </c>
      <c r="CE15">
        <v>0</v>
      </c>
      <c r="CF15">
        <v>0</v>
      </c>
      <c r="CG15">
        <v>0</v>
      </c>
      <c r="CH15">
        <v>1</v>
      </c>
      <c r="CI15">
        <v>1</v>
      </c>
      <c r="CJ15">
        <v>2</v>
      </c>
      <c r="CK15">
        <v>1</v>
      </c>
      <c r="CL15">
        <v>0</v>
      </c>
      <c r="CM15">
        <v>0</v>
      </c>
      <c r="CN15">
        <v>1</v>
      </c>
      <c r="CO15">
        <v>0</v>
      </c>
      <c r="CP15">
        <v>1</v>
      </c>
      <c r="CQ15">
        <v>0</v>
      </c>
      <c r="CR15">
        <v>0</v>
      </c>
      <c r="CS15">
        <v>1</v>
      </c>
      <c r="CT15">
        <v>0</v>
      </c>
      <c r="CU15">
        <v>0</v>
      </c>
      <c r="CV15">
        <v>1</v>
      </c>
    </row>
    <row r="16" spans="1:100" x14ac:dyDescent="0.25">
      <c r="A16">
        <v>0</v>
      </c>
      <c r="B16">
        <v>1</v>
      </c>
      <c r="C16">
        <v>1</v>
      </c>
      <c r="D16">
        <v>1</v>
      </c>
      <c r="E16">
        <v>0</v>
      </c>
      <c r="F16">
        <v>0</v>
      </c>
      <c r="G16">
        <v>2</v>
      </c>
      <c r="H16">
        <v>0</v>
      </c>
      <c r="I16">
        <v>0</v>
      </c>
      <c r="J16">
        <v>1</v>
      </c>
      <c r="K16">
        <v>0</v>
      </c>
      <c r="L16">
        <v>1</v>
      </c>
      <c r="M16">
        <v>0</v>
      </c>
      <c r="N16">
        <v>1</v>
      </c>
      <c r="O16">
        <v>2</v>
      </c>
      <c r="P16">
        <v>0</v>
      </c>
      <c r="Q16">
        <v>1</v>
      </c>
      <c r="R16">
        <v>0</v>
      </c>
      <c r="S16">
        <v>0</v>
      </c>
      <c r="T16">
        <v>1</v>
      </c>
      <c r="U16">
        <v>0</v>
      </c>
      <c r="V16">
        <v>1</v>
      </c>
      <c r="W16">
        <v>1</v>
      </c>
      <c r="X16">
        <v>1</v>
      </c>
      <c r="Y16">
        <v>0</v>
      </c>
      <c r="Z16">
        <v>1</v>
      </c>
      <c r="AA16">
        <v>0</v>
      </c>
      <c r="AB16">
        <v>1</v>
      </c>
      <c r="AC16">
        <v>0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0</v>
      </c>
      <c r="AJ16">
        <v>0</v>
      </c>
      <c r="AK16">
        <v>0</v>
      </c>
      <c r="AL16">
        <v>0</v>
      </c>
      <c r="AM16">
        <v>1</v>
      </c>
      <c r="AN16">
        <v>1</v>
      </c>
      <c r="AO16">
        <v>1</v>
      </c>
      <c r="AP16">
        <v>0</v>
      </c>
      <c r="AQ16">
        <v>1</v>
      </c>
      <c r="AR16">
        <v>2</v>
      </c>
      <c r="AS16">
        <v>0</v>
      </c>
      <c r="AT16">
        <v>1</v>
      </c>
      <c r="AU16">
        <v>1</v>
      </c>
      <c r="AV16">
        <v>0</v>
      </c>
      <c r="AW16">
        <v>0</v>
      </c>
      <c r="AX16">
        <v>0</v>
      </c>
      <c r="AY16">
        <v>0</v>
      </c>
      <c r="AZ16">
        <v>1</v>
      </c>
      <c r="BA16">
        <v>0</v>
      </c>
      <c r="BB16">
        <v>0</v>
      </c>
      <c r="BC16">
        <v>1</v>
      </c>
      <c r="BD16">
        <v>1</v>
      </c>
      <c r="BE16">
        <v>0</v>
      </c>
      <c r="BF16">
        <v>0</v>
      </c>
      <c r="BG16">
        <v>0</v>
      </c>
      <c r="BH16">
        <v>2</v>
      </c>
      <c r="BI16">
        <v>1</v>
      </c>
      <c r="BJ16">
        <v>1</v>
      </c>
      <c r="BK16">
        <v>0</v>
      </c>
      <c r="BL16">
        <v>1</v>
      </c>
      <c r="BM16">
        <v>4</v>
      </c>
      <c r="BN16">
        <v>1</v>
      </c>
      <c r="BO16">
        <v>0</v>
      </c>
      <c r="BP16">
        <v>0</v>
      </c>
      <c r="BQ16">
        <v>0</v>
      </c>
      <c r="BR16">
        <v>1</v>
      </c>
      <c r="BS16">
        <v>1</v>
      </c>
      <c r="BT16">
        <v>0</v>
      </c>
      <c r="BU16">
        <v>0</v>
      </c>
      <c r="BV16">
        <v>0</v>
      </c>
      <c r="BW16">
        <v>3</v>
      </c>
      <c r="BX16">
        <v>0</v>
      </c>
      <c r="BY16">
        <v>1</v>
      </c>
      <c r="BZ16">
        <v>2</v>
      </c>
      <c r="CA16">
        <v>4</v>
      </c>
      <c r="CB16">
        <v>0</v>
      </c>
      <c r="CC16">
        <v>1</v>
      </c>
      <c r="CD16">
        <v>0</v>
      </c>
      <c r="CE16">
        <v>0</v>
      </c>
      <c r="CF16">
        <v>0</v>
      </c>
      <c r="CG16">
        <v>0</v>
      </c>
      <c r="CH16">
        <v>2</v>
      </c>
      <c r="CI16">
        <v>0</v>
      </c>
      <c r="CJ16">
        <v>0</v>
      </c>
      <c r="CK16">
        <v>0</v>
      </c>
      <c r="CL16">
        <v>1</v>
      </c>
      <c r="CM16">
        <v>1</v>
      </c>
      <c r="CN16">
        <v>2</v>
      </c>
      <c r="CO16">
        <v>0</v>
      </c>
      <c r="CP16">
        <v>0</v>
      </c>
      <c r="CQ16">
        <v>0</v>
      </c>
      <c r="CR16">
        <v>1</v>
      </c>
      <c r="CS16">
        <v>2</v>
      </c>
      <c r="CT16">
        <v>0</v>
      </c>
      <c r="CU16">
        <v>2</v>
      </c>
      <c r="CV16">
        <v>0</v>
      </c>
    </row>
    <row r="17" spans="1:100" x14ac:dyDescent="0.25">
      <c r="A17">
        <v>0</v>
      </c>
      <c r="B17">
        <v>0</v>
      </c>
      <c r="C17">
        <v>2</v>
      </c>
      <c r="D17">
        <v>0</v>
      </c>
      <c r="E17">
        <v>1</v>
      </c>
      <c r="F17">
        <v>0</v>
      </c>
      <c r="G17">
        <v>0</v>
      </c>
      <c r="H17">
        <v>0</v>
      </c>
      <c r="I17">
        <v>1</v>
      </c>
      <c r="J17">
        <v>0</v>
      </c>
      <c r="K17">
        <v>0</v>
      </c>
      <c r="L17">
        <v>0</v>
      </c>
      <c r="M17">
        <v>0</v>
      </c>
      <c r="N17">
        <v>1</v>
      </c>
      <c r="O17">
        <v>0</v>
      </c>
      <c r="P17">
        <v>0</v>
      </c>
      <c r="Q17">
        <v>0</v>
      </c>
      <c r="R17">
        <v>0</v>
      </c>
      <c r="S17">
        <v>2</v>
      </c>
      <c r="T17">
        <v>1</v>
      </c>
      <c r="U17">
        <v>2</v>
      </c>
      <c r="V17">
        <v>0</v>
      </c>
      <c r="W17">
        <v>1</v>
      </c>
      <c r="X17">
        <v>0</v>
      </c>
      <c r="Y17">
        <v>3</v>
      </c>
      <c r="Z17">
        <v>0</v>
      </c>
      <c r="AA17">
        <v>1</v>
      </c>
      <c r="AB17">
        <v>0</v>
      </c>
      <c r="AC17">
        <v>0</v>
      </c>
      <c r="AD17">
        <v>0</v>
      </c>
      <c r="AE17">
        <v>1</v>
      </c>
      <c r="AF17">
        <v>2</v>
      </c>
      <c r="AG17">
        <v>4</v>
      </c>
      <c r="AH17">
        <v>1</v>
      </c>
      <c r="AI17">
        <v>0</v>
      </c>
      <c r="AJ17">
        <v>0</v>
      </c>
      <c r="AK17">
        <v>0</v>
      </c>
      <c r="AL17">
        <v>0</v>
      </c>
      <c r="AM17">
        <v>1</v>
      </c>
      <c r="AN17">
        <v>0</v>
      </c>
      <c r="AO17">
        <v>1</v>
      </c>
      <c r="AP17">
        <v>2</v>
      </c>
      <c r="AQ17">
        <v>0</v>
      </c>
      <c r="AR17">
        <v>1</v>
      </c>
      <c r="AS17">
        <v>0</v>
      </c>
      <c r="AT17">
        <v>2</v>
      </c>
      <c r="AU17">
        <v>0</v>
      </c>
      <c r="AV17">
        <v>0</v>
      </c>
      <c r="AW17">
        <v>0</v>
      </c>
      <c r="AX17">
        <v>1</v>
      </c>
      <c r="AY17">
        <v>1</v>
      </c>
      <c r="AZ17">
        <v>0</v>
      </c>
      <c r="BA17">
        <v>1</v>
      </c>
      <c r="BB17">
        <v>0</v>
      </c>
      <c r="BC17">
        <v>1</v>
      </c>
      <c r="BD17">
        <v>1</v>
      </c>
      <c r="BE17">
        <v>0</v>
      </c>
      <c r="BF17">
        <v>0</v>
      </c>
      <c r="BG17">
        <v>1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</v>
      </c>
      <c r="BN17">
        <v>1</v>
      </c>
      <c r="BO17">
        <v>1</v>
      </c>
      <c r="BP17">
        <v>0</v>
      </c>
      <c r="BQ17">
        <v>0</v>
      </c>
      <c r="BR17">
        <v>0</v>
      </c>
      <c r="BS17">
        <v>0</v>
      </c>
      <c r="BT17">
        <v>1</v>
      </c>
      <c r="BU17">
        <v>0</v>
      </c>
      <c r="BV17">
        <v>1</v>
      </c>
      <c r="BW17">
        <v>1</v>
      </c>
      <c r="BX17">
        <v>2</v>
      </c>
      <c r="BY17">
        <v>0</v>
      </c>
      <c r="BZ17">
        <v>0</v>
      </c>
      <c r="CA17">
        <v>1</v>
      </c>
      <c r="CB17">
        <v>0</v>
      </c>
      <c r="CC17">
        <v>0</v>
      </c>
      <c r="CD17">
        <v>1</v>
      </c>
      <c r="CE17">
        <v>0</v>
      </c>
      <c r="CF17">
        <v>0</v>
      </c>
      <c r="CG17">
        <v>2</v>
      </c>
      <c r="CH17">
        <v>1</v>
      </c>
      <c r="CI17">
        <v>1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1</v>
      </c>
      <c r="CP17">
        <v>1</v>
      </c>
      <c r="CQ17">
        <v>0</v>
      </c>
      <c r="CR17">
        <v>0</v>
      </c>
      <c r="CS17">
        <v>1</v>
      </c>
      <c r="CT17">
        <v>0</v>
      </c>
      <c r="CU17">
        <v>0</v>
      </c>
      <c r="CV17">
        <v>0</v>
      </c>
    </row>
    <row r="18" spans="1:100" x14ac:dyDescent="0.25">
      <c r="A18">
        <v>0</v>
      </c>
      <c r="B18">
        <v>0</v>
      </c>
      <c r="C18">
        <v>2</v>
      </c>
      <c r="D18">
        <v>0</v>
      </c>
      <c r="E18">
        <v>1</v>
      </c>
      <c r="F18">
        <v>0</v>
      </c>
      <c r="G18">
        <v>0</v>
      </c>
      <c r="H18">
        <v>0</v>
      </c>
      <c r="I18">
        <v>0</v>
      </c>
      <c r="J18">
        <v>0</v>
      </c>
      <c r="K18">
        <v>1</v>
      </c>
      <c r="L18">
        <v>0</v>
      </c>
      <c r="M18">
        <v>0</v>
      </c>
      <c r="N18">
        <v>2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1</v>
      </c>
      <c r="V18">
        <v>1</v>
      </c>
      <c r="W18">
        <v>1</v>
      </c>
      <c r="X18">
        <v>0</v>
      </c>
      <c r="Y18">
        <v>1</v>
      </c>
      <c r="Z18">
        <v>0</v>
      </c>
      <c r="AA18">
        <v>0</v>
      </c>
      <c r="AB18">
        <v>2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0</v>
      </c>
      <c r="AL18">
        <v>1</v>
      </c>
      <c r="AM18">
        <v>0</v>
      </c>
      <c r="AN18">
        <v>0</v>
      </c>
      <c r="AO18">
        <v>1</v>
      </c>
      <c r="AP18">
        <v>1</v>
      </c>
      <c r="AQ18">
        <v>0</v>
      </c>
      <c r="AR18">
        <v>0</v>
      </c>
      <c r="AS18">
        <v>1</v>
      </c>
      <c r="AT18">
        <v>0</v>
      </c>
      <c r="AU18">
        <v>1</v>
      </c>
      <c r="AV18">
        <v>0</v>
      </c>
      <c r="AW18">
        <v>1</v>
      </c>
      <c r="AX18">
        <v>0</v>
      </c>
      <c r="AY18">
        <v>0</v>
      </c>
      <c r="AZ18">
        <v>1</v>
      </c>
      <c r="BA18">
        <v>1</v>
      </c>
      <c r="BB18">
        <v>2</v>
      </c>
      <c r="BC18">
        <v>0</v>
      </c>
      <c r="BD18">
        <v>0</v>
      </c>
      <c r="BE18">
        <v>0</v>
      </c>
      <c r="BF18">
        <v>0</v>
      </c>
      <c r="BG18">
        <v>1</v>
      </c>
      <c r="BH18">
        <v>0</v>
      </c>
      <c r="BI18">
        <v>1</v>
      </c>
      <c r="BJ18">
        <v>1</v>
      </c>
      <c r="BK18">
        <v>1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1</v>
      </c>
      <c r="BS18">
        <v>1</v>
      </c>
      <c r="BT18">
        <v>1</v>
      </c>
      <c r="BU18">
        <v>0</v>
      </c>
      <c r="BV18">
        <v>1</v>
      </c>
      <c r="BW18">
        <v>1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1</v>
      </c>
      <c r="CD18">
        <v>0</v>
      </c>
      <c r="CE18">
        <v>1</v>
      </c>
      <c r="CF18">
        <v>0</v>
      </c>
      <c r="CG18">
        <v>0</v>
      </c>
      <c r="CH18">
        <v>0</v>
      </c>
      <c r="CI18">
        <v>1</v>
      </c>
      <c r="CJ18">
        <v>1</v>
      </c>
      <c r="CK18">
        <v>0</v>
      </c>
      <c r="CL18">
        <v>1</v>
      </c>
      <c r="CM18">
        <v>0</v>
      </c>
      <c r="CN18">
        <v>0</v>
      </c>
      <c r="CO18">
        <v>0</v>
      </c>
      <c r="CP18">
        <v>1</v>
      </c>
      <c r="CQ18">
        <v>0</v>
      </c>
      <c r="CR18">
        <v>1</v>
      </c>
      <c r="CS18">
        <v>2</v>
      </c>
      <c r="CT18">
        <v>0</v>
      </c>
      <c r="CU18">
        <v>0</v>
      </c>
      <c r="CV18">
        <v>0</v>
      </c>
    </row>
    <row r="19" spans="1:100" x14ac:dyDescent="0.25">
      <c r="A19">
        <v>0</v>
      </c>
      <c r="B19">
        <v>0</v>
      </c>
      <c r="C19">
        <v>1</v>
      </c>
      <c r="D19">
        <v>0</v>
      </c>
      <c r="E19">
        <v>0</v>
      </c>
      <c r="F19">
        <v>0</v>
      </c>
      <c r="G19">
        <v>0</v>
      </c>
      <c r="H19">
        <v>0</v>
      </c>
      <c r="I19">
        <v>1</v>
      </c>
      <c r="J19">
        <v>2</v>
      </c>
      <c r="K19">
        <v>0</v>
      </c>
      <c r="L19">
        <v>1</v>
      </c>
      <c r="M19">
        <v>1</v>
      </c>
      <c r="N19">
        <v>0</v>
      </c>
      <c r="O19">
        <v>0</v>
      </c>
      <c r="P19">
        <v>0</v>
      </c>
      <c r="Q19">
        <v>1</v>
      </c>
      <c r="R19">
        <v>0</v>
      </c>
      <c r="S19">
        <v>0</v>
      </c>
      <c r="T19">
        <v>1</v>
      </c>
      <c r="U19">
        <v>0</v>
      </c>
      <c r="V19">
        <v>0</v>
      </c>
      <c r="W19">
        <v>0</v>
      </c>
      <c r="X19">
        <v>0</v>
      </c>
      <c r="Y19">
        <v>1</v>
      </c>
      <c r="Z19">
        <v>0</v>
      </c>
      <c r="AA19">
        <v>0</v>
      </c>
      <c r="AB19">
        <v>0</v>
      </c>
      <c r="AC19">
        <v>0</v>
      </c>
      <c r="AD19">
        <v>5</v>
      </c>
      <c r="AE19">
        <v>1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1</v>
      </c>
      <c r="AN19">
        <v>1</v>
      </c>
      <c r="AO19">
        <v>0</v>
      </c>
      <c r="AP19">
        <v>0</v>
      </c>
      <c r="AQ19">
        <v>1</v>
      </c>
      <c r="AR19">
        <v>1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1</v>
      </c>
      <c r="AZ19">
        <v>0</v>
      </c>
      <c r="BA19">
        <v>0</v>
      </c>
      <c r="BB19">
        <v>1</v>
      </c>
      <c r="BC19">
        <v>0</v>
      </c>
      <c r="BD19">
        <v>2</v>
      </c>
      <c r="BE19">
        <v>3</v>
      </c>
      <c r="BF19">
        <v>1</v>
      </c>
      <c r="BG19">
        <v>0</v>
      </c>
      <c r="BH19">
        <v>0</v>
      </c>
      <c r="BI19">
        <v>0</v>
      </c>
      <c r="BJ19">
        <v>1</v>
      </c>
      <c r="BK19">
        <v>2</v>
      </c>
      <c r="BL19">
        <v>0</v>
      </c>
      <c r="BM19">
        <v>0</v>
      </c>
      <c r="BN19">
        <v>1</v>
      </c>
      <c r="BO19">
        <v>0</v>
      </c>
      <c r="BP19">
        <v>2</v>
      </c>
      <c r="BQ19">
        <v>2</v>
      </c>
      <c r="BR19">
        <v>0</v>
      </c>
      <c r="BS19">
        <v>1</v>
      </c>
      <c r="BT19">
        <v>0</v>
      </c>
      <c r="BU19">
        <v>0</v>
      </c>
      <c r="BV19">
        <v>0</v>
      </c>
      <c r="BW19">
        <v>1</v>
      </c>
      <c r="BX19">
        <v>0</v>
      </c>
      <c r="BY19">
        <v>0</v>
      </c>
      <c r="BZ19">
        <v>1</v>
      </c>
      <c r="CA19">
        <v>1</v>
      </c>
      <c r="CB19">
        <v>1</v>
      </c>
      <c r="CC19">
        <v>1</v>
      </c>
      <c r="CD19">
        <v>0</v>
      </c>
      <c r="CE19">
        <v>0</v>
      </c>
      <c r="CF19">
        <v>1</v>
      </c>
      <c r="CG19">
        <v>1</v>
      </c>
      <c r="CH19">
        <v>0</v>
      </c>
      <c r="CI19">
        <v>0</v>
      </c>
      <c r="CJ19">
        <v>2</v>
      </c>
      <c r="CK19">
        <v>0</v>
      </c>
      <c r="CL19">
        <v>0</v>
      </c>
      <c r="CM19">
        <v>0</v>
      </c>
      <c r="CN19">
        <v>1</v>
      </c>
      <c r="CO19">
        <v>0</v>
      </c>
      <c r="CP19">
        <v>0</v>
      </c>
      <c r="CQ19">
        <v>1</v>
      </c>
      <c r="CR19">
        <v>0</v>
      </c>
      <c r="CS19">
        <v>2</v>
      </c>
      <c r="CT19">
        <v>2</v>
      </c>
      <c r="CU19">
        <v>1</v>
      </c>
      <c r="CV19">
        <v>0</v>
      </c>
    </row>
    <row r="20" spans="1:100" x14ac:dyDescent="0.25">
      <c r="A20">
        <v>0</v>
      </c>
      <c r="B20">
        <v>0</v>
      </c>
      <c r="C20">
        <v>0</v>
      </c>
      <c r="D20">
        <v>1</v>
      </c>
      <c r="E20">
        <v>1</v>
      </c>
      <c r="F20">
        <v>1</v>
      </c>
      <c r="G20">
        <v>0</v>
      </c>
      <c r="H20">
        <v>1</v>
      </c>
      <c r="I20">
        <v>1</v>
      </c>
      <c r="J20">
        <v>0</v>
      </c>
      <c r="K20">
        <v>0</v>
      </c>
      <c r="L20">
        <v>1</v>
      </c>
      <c r="M20">
        <v>1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1</v>
      </c>
      <c r="V20">
        <v>0</v>
      </c>
      <c r="W20">
        <v>1</v>
      </c>
      <c r="X20">
        <v>2</v>
      </c>
      <c r="Y20">
        <v>0</v>
      </c>
      <c r="Z20">
        <v>1</v>
      </c>
      <c r="AA20">
        <v>0</v>
      </c>
      <c r="AB20">
        <v>1</v>
      </c>
      <c r="AC20">
        <v>0</v>
      </c>
      <c r="AD20">
        <v>0</v>
      </c>
      <c r="AE20">
        <v>1</v>
      </c>
      <c r="AF20">
        <v>0</v>
      </c>
      <c r="AG20">
        <v>0</v>
      </c>
      <c r="AH20">
        <v>0</v>
      </c>
      <c r="AI20">
        <v>1</v>
      </c>
      <c r="AJ20">
        <v>0</v>
      </c>
      <c r="AK20">
        <v>0</v>
      </c>
      <c r="AL20">
        <v>0</v>
      </c>
      <c r="AM20">
        <v>0</v>
      </c>
      <c r="AN20">
        <v>1</v>
      </c>
      <c r="AO20">
        <v>2</v>
      </c>
      <c r="AP20">
        <v>1</v>
      </c>
      <c r="AQ20">
        <v>1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1</v>
      </c>
      <c r="AY20">
        <v>0</v>
      </c>
      <c r="AZ20">
        <v>0</v>
      </c>
      <c r="BA20">
        <v>1</v>
      </c>
      <c r="BB20">
        <v>0</v>
      </c>
      <c r="BC20">
        <v>0</v>
      </c>
      <c r="BD20">
        <v>0</v>
      </c>
      <c r="BE20">
        <v>1</v>
      </c>
      <c r="BF20">
        <v>1</v>
      </c>
      <c r="BG20">
        <v>1</v>
      </c>
      <c r="BH20">
        <v>0</v>
      </c>
      <c r="BI20">
        <v>0</v>
      </c>
      <c r="BJ20">
        <v>2</v>
      </c>
      <c r="BK20">
        <v>1</v>
      </c>
      <c r="BL20">
        <v>0</v>
      </c>
      <c r="BM20">
        <v>1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1</v>
      </c>
      <c r="BU20">
        <v>1</v>
      </c>
      <c r="BV20">
        <v>0</v>
      </c>
      <c r="BW20">
        <v>3</v>
      </c>
      <c r="BX20">
        <v>0</v>
      </c>
      <c r="BY20">
        <v>0</v>
      </c>
      <c r="BZ20">
        <v>0</v>
      </c>
      <c r="CA20">
        <v>1</v>
      </c>
      <c r="CB20">
        <v>2</v>
      </c>
      <c r="CC20">
        <v>0</v>
      </c>
      <c r="CD20">
        <v>0</v>
      </c>
      <c r="CE20">
        <v>1</v>
      </c>
      <c r="CF20">
        <v>0</v>
      </c>
      <c r="CG20">
        <v>1</v>
      </c>
      <c r="CH20">
        <v>0</v>
      </c>
      <c r="CI20">
        <v>1</v>
      </c>
      <c r="CJ20">
        <v>0</v>
      </c>
      <c r="CK20">
        <v>1</v>
      </c>
      <c r="CL20">
        <v>1</v>
      </c>
      <c r="CM20">
        <v>0</v>
      </c>
      <c r="CN20">
        <v>0</v>
      </c>
      <c r="CO20">
        <v>1</v>
      </c>
      <c r="CP20">
        <v>1</v>
      </c>
      <c r="CQ20">
        <v>1</v>
      </c>
      <c r="CR20">
        <v>0</v>
      </c>
      <c r="CS20">
        <v>1</v>
      </c>
      <c r="CT20">
        <v>4</v>
      </c>
      <c r="CU20">
        <v>1</v>
      </c>
      <c r="CV20">
        <v>0</v>
      </c>
    </row>
    <row r="21" spans="1:100" x14ac:dyDescent="0.25">
      <c r="A21">
        <v>0</v>
      </c>
      <c r="B21">
        <v>1</v>
      </c>
      <c r="C21">
        <v>1</v>
      </c>
      <c r="D21">
        <v>1</v>
      </c>
      <c r="E21">
        <v>0</v>
      </c>
      <c r="F21">
        <v>1</v>
      </c>
      <c r="G21">
        <v>1</v>
      </c>
      <c r="H21">
        <v>0</v>
      </c>
      <c r="I21">
        <v>1</v>
      </c>
      <c r="J21">
        <v>2</v>
      </c>
      <c r="K21">
        <v>0</v>
      </c>
      <c r="L21">
        <v>2</v>
      </c>
      <c r="M21">
        <v>0</v>
      </c>
      <c r="N21">
        <v>0</v>
      </c>
      <c r="O21">
        <v>1</v>
      </c>
      <c r="P21">
        <v>1</v>
      </c>
      <c r="Q21">
        <v>1</v>
      </c>
      <c r="R21">
        <v>0</v>
      </c>
      <c r="S21">
        <v>0</v>
      </c>
      <c r="T21">
        <v>0</v>
      </c>
      <c r="U21">
        <v>0</v>
      </c>
      <c r="V21">
        <v>0</v>
      </c>
      <c r="W21">
        <v>1</v>
      </c>
      <c r="X21">
        <v>0</v>
      </c>
      <c r="Y21">
        <v>0</v>
      </c>
      <c r="Z21">
        <v>1</v>
      </c>
      <c r="AA21">
        <v>0</v>
      </c>
      <c r="AB21">
        <v>0</v>
      </c>
      <c r="AC21">
        <v>1</v>
      </c>
      <c r="AD21">
        <v>0</v>
      </c>
      <c r="AE21">
        <v>0</v>
      </c>
      <c r="AF21">
        <v>1</v>
      </c>
      <c r="AG21">
        <v>0</v>
      </c>
      <c r="AH21">
        <v>1</v>
      </c>
      <c r="AI21">
        <v>0</v>
      </c>
      <c r="AJ21">
        <v>0</v>
      </c>
      <c r="AK21">
        <v>1</v>
      </c>
      <c r="AL21">
        <v>2</v>
      </c>
      <c r="AM21">
        <v>0</v>
      </c>
      <c r="AN21">
        <v>1</v>
      </c>
      <c r="AO21">
        <v>2</v>
      </c>
      <c r="AP21">
        <v>0</v>
      </c>
      <c r="AQ21">
        <v>0</v>
      </c>
      <c r="AR21">
        <v>0</v>
      </c>
      <c r="AS21">
        <v>1</v>
      </c>
      <c r="AT21">
        <v>1</v>
      </c>
      <c r="AU21">
        <v>1</v>
      </c>
      <c r="AV21">
        <v>0</v>
      </c>
      <c r="AW21">
        <v>0</v>
      </c>
      <c r="AX21">
        <v>1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1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1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1</v>
      </c>
      <c r="BU21">
        <v>0</v>
      </c>
      <c r="BV21">
        <v>1</v>
      </c>
      <c r="BW21">
        <v>1</v>
      </c>
      <c r="BX21">
        <v>1</v>
      </c>
      <c r="BY21">
        <v>1</v>
      </c>
      <c r="BZ21">
        <v>0</v>
      </c>
      <c r="CA21">
        <v>0</v>
      </c>
      <c r="CB21">
        <v>2</v>
      </c>
      <c r="CC21">
        <v>1</v>
      </c>
      <c r="CD21">
        <v>0</v>
      </c>
      <c r="CE21">
        <v>1</v>
      </c>
      <c r="CF21">
        <v>1</v>
      </c>
      <c r="CG21">
        <v>0</v>
      </c>
      <c r="CH21">
        <v>0</v>
      </c>
      <c r="CI21">
        <v>1</v>
      </c>
      <c r="CJ21">
        <v>1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1</v>
      </c>
      <c r="CQ21">
        <v>0</v>
      </c>
      <c r="CR21">
        <v>3</v>
      </c>
      <c r="CS21">
        <v>1</v>
      </c>
      <c r="CT21">
        <v>1</v>
      </c>
      <c r="CU21">
        <v>1</v>
      </c>
      <c r="CV21">
        <v>0</v>
      </c>
    </row>
    <row r="22" spans="1:100" x14ac:dyDescent="0.25">
      <c r="A22">
        <v>0</v>
      </c>
      <c r="B22">
        <v>0</v>
      </c>
      <c r="C22">
        <v>0</v>
      </c>
      <c r="D22">
        <v>0</v>
      </c>
      <c r="E22">
        <v>1</v>
      </c>
      <c r="F22">
        <v>0</v>
      </c>
      <c r="G22">
        <v>0</v>
      </c>
      <c r="H22">
        <v>0</v>
      </c>
      <c r="I22">
        <v>0</v>
      </c>
      <c r="J22">
        <v>3</v>
      </c>
      <c r="K22">
        <v>0</v>
      </c>
      <c r="L22">
        <v>0</v>
      </c>
      <c r="M22">
        <v>0</v>
      </c>
      <c r="N22">
        <v>1</v>
      </c>
      <c r="O22">
        <v>1</v>
      </c>
      <c r="P22">
        <v>0</v>
      </c>
      <c r="Q22">
        <v>1</v>
      </c>
      <c r="R22">
        <v>0</v>
      </c>
      <c r="S22">
        <v>1</v>
      </c>
      <c r="T22">
        <v>0</v>
      </c>
      <c r="U22">
        <v>0</v>
      </c>
      <c r="V22">
        <v>2</v>
      </c>
      <c r="W22">
        <v>2</v>
      </c>
      <c r="X22">
        <v>0</v>
      </c>
      <c r="Y22">
        <v>0</v>
      </c>
      <c r="Z22">
        <v>0</v>
      </c>
      <c r="AA22">
        <v>2</v>
      </c>
      <c r="AB22">
        <v>0</v>
      </c>
      <c r="AC22">
        <v>2</v>
      </c>
      <c r="AD22">
        <v>1</v>
      </c>
      <c r="AE22">
        <v>1</v>
      </c>
      <c r="AF22">
        <v>1</v>
      </c>
      <c r="AG22">
        <v>2</v>
      </c>
      <c r="AH22">
        <v>0</v>
      </c>
      <c r="AI22">
        <v>1</v>
      </c>
      <c r="AJ22">
        <v>0</v>
      </c>
      <c r="AK22">
        <v>0</v>
      </c>
      <c r="AL22">
        <v>0</v>
      </c>
      <c r="AM22">
        <v>1</v>
      </c>
      <c r="AN22">
        <v>0</v>
      </c>
      <c r="AO22">
        <v>1</v>
      </c>
      <c r="AP22">
        <v>1</v>
      </c>
      <c r="AQ22">
        <v>1</v>
      </c>
      <c r="AR22">
        <v>1</v>
      </c>
      <c r="AS22">
        <v>0</v>
      </c>
      <c r="AT22">
        <v>1</v>
      </c>
      <c r="AU22">
        <v>1</v>
      </c>
      <c r="AV22">
        <v>0</v>
      </c>
      <c r="AW22">
        <v>0</v>
      </c>
      <c r="AX22">
        <v>0</v>
      </c>
      <c r="AY22">
        <v>1</v>
      </c>
      <c r="AZ22">
        <v>1</v>
      </c>
      <c r="BA22">
        <v>0</v>
      </c>
      <c r="BB22">
        <v>0</v>
      </c>
      <c r="BC22">
        <v>1</v>
      </c>
      <c r="BD22">
        <v>1</v>
      </c>
      <c r="BE22">
        <v>0</v>
      </c>
      <c r="BF22">
        <v>2</v>
      </c>
      <c r="BG22">
        <v>0</v>
      </c>
      <c r="BH22">
        <v>2</v>
      </c>
      <c r="BI22">
        <v>1</v>
      </c>
      <c r="BJ22">
        <v>1</v>
      </c>
      <c r="BK22">
        <v>1</v>
      </c>
      <c r="BL22">
        <v>0</v>
      </c>
      <c r="BM22">
        <v>1</v>
      </c>
      <c r="BN22">
        <v>1</v>
      </c>
      <c r="BO22">
        <v>0</v>
      </c>
      <c r="BP22">
        <v>1</v>
      </c>
      <c r="BQ22">
        <v>0</v>
      </c>
      <c r="BR22">
        <v>0</v>
      </c>
      <c r="BS22">
        <v>1</v>
      </c>
      <c r="BT22">
        <v>0</v>
      </c>
      <c r="BU22">
        <v>1</v>
      </c>
      <c r="BV22">
        <v>1</v>
      </c>
      <c r="BW22">
        <v>1</v>
      </c>
      <c r="BX22">
        <v>2</v>
      </c>
      <c r="BY22">
        <v>0</v>
      </c>
      <c r="BZ22">
        <v>1</v>
      </c>
      <c r="CA22">
        <v>0</v>
      </c>
      <c r="CB22">
        <v>1</v>
      </c>
      <c r="CC22">
        <v>2</v>
      </c>
      <c r="CD22">
        <v>0</v>
      </c>
      <c r="CE22">
        <v>1</v>
      </c>
      <c r="CF22">
        <v>0</v>
      </c>
      <c r="CG22">
        <v>1</v>
      </c>
      <c r="CH22">
        <v>0</v>
      </c>
      <c r="CI22">
        <v>2</v>
      </c>
      <c r="CJ22">
        <v>0</v>
      </c>
      <c r="CK22">
        <v>1</v>
      </c>
      <c r="CL22">
        <v>0</v>
      </c>
      <c r="CM22">
        <v>1</v>
      </c>
      <c r="CN22">
        <v>1</v>
      </c>
      <c r="CO22">
        <v>0</v>
      </c>
      <c r="CP22">
        <v>1</v>
      </c>
      <c r="CQ22">
        <v>2</v>
      </c>
      <c r="CR22">
        <v>2</v>
      </c>
      <c r="CS22">
        <v>0</v>
      </c>
      <c r="CT22">
        <v>0</v>
      </c>
      <c r="CU22">
        <v>0</v>
      </c>
      <c r="CV22">
        <v>0</v>
      </c>
    </row>
    <row r="23" spans="1:100" x14ac:dyDescent="0.25">
      <c r="A23">
        <v>0</v>
      </c>
      <c r="B23">
        <v>0</v>
      </c>
      <c r="C23">
        <v>3</v>
      </c>
      <c r="D23">
        <v>1</v>
      </c>
      <c r="E23">
        <v>1</v>
      </c>
      <c r="F23">
        <v>0</v>
      </c>
      <c r="G23">
        <v>2</v>
      </c>
      <c r="H23">
        <v>0</v>
      </c>
      <c r="I23">
        <v>3</v>
      </c>
      <c r="J23">
        <v>1</v>
      </c>
      <c r="K23">
        <v>3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1</v>
      </c>
      <c r="V23">
        <v>0</v>
      </c>
      <c r="W23">
        <v>0</v>
      </c>
      <c r="X23">
        <v>0</v>
      </c>
      <c r="Y23">
        <v>0</v>
      </c>
      <c r="Z23">
        <v>1</v>
      </c>
      <c r="AA23">
        <v>0</v>
      </c>
      <c r="AB23">
        <v>1</v>
      </c>
      <c r="AC23">
        <v>1</v>
      </c>
      <c r="AD23">
        <v>1</v>
      </c>
      <c r="AE23">
        <v>0</v>
      </c>
      <c r="AF23">
        <v>0</v>
      </c>
      <c r="AG23">
        <v>0</v>
      </c>
      <c r="AH23">
        <v>1</v>
      </c>
      <c r="AI23">
        <v>2</v>
      </c>
      <c r="AJ23">
        <v>1</v>
      </c>
      <c r="AK23">
        <v>2</v>
      </c>
      <c r="AL23">
        <v>1</v>
      </c>
      <c r="AM23">
        <v>0</v>
      </c>
      <c r="AN23">
        <v>3</v>
      </c>
      <c r="AO23">
        <v>1</v>
      </c>
      <c r="AP23">
        <v>1</v>
      </c>
      <c r="AQ23">
        <v>0</v>
      </c>
      <c r="AR23">
        <v>0</v>
      </c>
      <c r="AS23">
        <v>0</v>
      </c>
      <c r="AT23">
        <v>1</v>
      </c>
      <c r="AU23">
        <v>1</v>
      </c>
      <c r="AV23">
        <v>0</v>
      </c>
      <c r="AW23">
        <v>1</v>
      </c>
      <c r="AX23">
        <v>0</v>
      </c>
      <c r="AY23">
        <v>1</v>
      </c>
      <c r="AZ23">
        <v>2</v>
      </c>
      <c r="BA23">
        <v>1</v>
      </c>
      <c r="BB23">
        <v>1</v>
      </c>
      <c r="BC23">
        <v>1</v>
      </c>
      <c r="BD23">
        <v>0</v>
      </c>
      <c r="BE23">
        <v>0</v>
      </c>
      <c r="BF23">
        <v>0</v>
      </c>
      <c r="BG23">
        <v>1</v>
      </c>
      <c r="BH23">
        <v>0</v>
      </c>
      <c r="BI23">
        <v>0</v>
      </c>
      <c r="BJ23">
        <v>0</v>
      </c>
      <c r="BK23">
        <v>0</v>
      </c>
      <c r="BL23">
        <v>1</v>
      </c>
      <c r="BM23">
        <v>1</v>
      </c>
      <c r="BN23">
        <v>2</v>
      </c>
      <c r="BO23">
        <v>0</v>
      </c>
      <c r="BP23">
        <v>2</v>
      </c>
      <c r="BQ23">
        <v>0</v>
      </c>
      <c r="BR23">
        <v>0</v>
      </c>
      <c r="BS23">
        <v>0</v>
      </c>
      <c r="BT23">
        <v>0</v>
      </c>
      <c r="BU23">
        <v>1</v>
      </c>
      <c r="BV23">
        <v>0</v>
      </c>
      <c r="BW23">
        <v>0</v>
      </c>
      <c r="BX23">
        <v>1</v>
      </c>
      <c r="BY23">
        <v>0</v>
      </c>
      <c r="BZ23">
        <v>2</v>
      </c>
      <c r="CA23">
        <v>0</v>
      </c>
      <c r="CB23">
        <v>1</v>
      </c>
      <c r="CC23">
        <v>1</v>
      </c>
      <c r="CD23">
        <v>0</v>
      </c>
      <c r="CE23">
        <v>0</v>
      </c>
      <c r="CF23">
        <v>0</v>
      </c>
      <c r="CG23">
        <v>0</v>
      </c>
      <c r="CH23">
        <v>1</v>
      </c>
      <c r="CI23">
        <v>0</v>
      </c>
      <c r="CJ23">
        <v>0</v>
      </c>
      <c r="CK23">
        <v>1</v>
      </c>
      <c r="CL23">
        <v>1</v>
      </c>
      <c r="CM23">
        <v>0</v>
      </c>
      <c r="CN23">
        <v>0</v>
      </c>
      <c r="CO23">
        <v>2</v>
      </c>
      <c r="CP23">
        <v>0</v>
      </c>
      <c r="CQ23">
        <v>0</v>
      </c>
      <c r="CR23">
        <v>1</v>
      </c>
      <c r="CS23">
        <v>2</v>
      </c>
      <c r="CT23">
        <v>0</v>
      </c>
      <c r="CU23">
        <v>0</v>
      </c>
      <c r="CV23">
        <v>0</v>
      </c>
    </row>
    <row r="24" spans="1:100" x14ac:dyDescent="0.25">
      <c r="A24">
        <v>1</v>
      </c>
      <c r="B24">
        <v>1</v>
      </c>
      <c r="C24">
        <v>0</v>
      </c>
      <c r="D24">
        <v>0</v>
      </c>
      <c r="E24">
        <v>2</v>
      </c>
      <c r="F24">
        <v>1</v>
      </c>
      <c r="G24">
        <v>1</v>
      </c>
      <c r="H24">
        <v>1</v>
      </c>
      <c r="I24">
        <v>1</v>
      </c>
      <c r="J24">
        <v>2</v>
      </c>
      <c r="K24">
        <v>0</v>
      </c>
      <c r="L24">
        <v>2</v>
      </c>
      <c r="M24">
        <v>0</v>
      </c>
      <c r="N24">
        <v>2</v>
      </c>
      <c r="O24">
        <v>2</v>
      </c>
      <c r="P24">
        <v>0</v>
      </c>
      <c r="Q24">
        <v>0</v>
      </c>
      <c r="R24">
        <v>1</v>
      </c>
      <c r="S24">
        <v>2</v>
      </c>
      <c r="T24">
        <v>0</v>
      </c>
      <c r="U24">
        <v>2</v>
      </c>
      <c r="V24">
        <v>0</v>
      </c>
      <c r="W24">
        <v>0</v>
      </c>
      <c r="X24">
        <v>0</v>
      </c>
      <c r="Y24">
        <v>1</v>
      </c>
      <c r="Z24">
        <v>1</v>
      </c>
      <c r="AA24">
        <v>0</v>
      </c>
      <c r="AB24">
        <v>1</v>
      </c>
      <c r="AC24">
        <v>1</v>
      </c>
      <c r="AD24">
        <v>0</v>
      </c>
      <c r="AE24">
        <v>2</v>
      </c>
      <c r="AF24">
        <v>0</v>
      </c>
      <c r="AG24">
        <v>1</v>
      </c>
      <c r="AH24">
        <v>1</v>
      </c>
      <c r="AI24">
        <v>0</v>
      </c>
      <c r="AJ24">
        <v>0</v>
      </c>
      <c r="AK24">
        <v>1</v>
      </c>
      <c r="AL24">
        <v>1</v>
      </c>
      <c r="AM24">
        <v>1</v>
      </c>
      <c r="AN24">
        <v>0</v>
      </c>
      <c r="AO24">
        <v>0</v>
      </c>
      <c r="AP24">
        <v>0</v>
      </c>
      <c r="AQ24">
        <v>0</v>
      </c>
      <c r="AR24">
        <v>1</v>
      </c>
      <c r="AS24">
        <v>0</v>
      </c>
      <c r="AT24">
        <v>1</v>
      </c>
      <c r="AU24">
        <v>0</v>
      </c>
      <c r="AV24">
        <v>2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1</v>
      </c>
      <c r="BC24">
        <v>0</v>
      </c>
      <c r="BD24">
        <v>0</v>
      </c>
      <c r="BE24">
        <v>1</v>
      </c>
      <c r="BF24">
        <v>1</v>
      </c>
      <c r="BG24">
        <v>0</v>
      </c>
      <c r="BH24">
        <v>2</v>
      </c>
      <c r="BI24">
        <v>0</v>
      </c>
      <c r="BJ24">
        <v>1</v>
      </c>
      <c r="BK24">
        <v>1</v>
      </c>
      <c r="BL24">
        <v>1</v>
      </c>
      <c r="BM24">
        <v>2</v>
      </c>
      <c r="BN24">
        <v>1</v>
      </c>
      <c r="BO24">
        <v>2</v>
      </c>
      <c r="BP24">
        <v>1</v>
      </c>
      <c r="BQ24">
        <v>1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v>0</v>
      </c>
      <c r="CC24">
        <v>1</v>
      </c>
      <c r="CD24">
        <v>1</v>
      </c>
      <c r="CE24">
        <v>1</v>
      </c>
      <c r="CF24">
        <v>1</v>
      </c>
      <c r="CG24">
        <v>1</v>
      </c>
      <c r="CH24">
        <v>1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1</v>
      </c>
      <c r="CO24">
        <v>0</v>
      </c>
      <c r="CP24">
        <v>0</v>
      </c>
      <c r="CQ24">
        <v>0</v>
      </c>
      <c r="CR24">
        <v>1</v>
      </c>
      <c r="CS24">
        <v>0</v>
      </c>
      <c r="CT24">
        <v>1</v>
      </c>
      <c r="CU24">
        <v>0</v>
      </c>
      <c r="CV24">
        <v>0</v>
      </c>
    </row>
    <row r="25" spans="1:100" x14ac:dyDescent="0.25">
      <c r="A25">
        <v>1</v>
      </c>
      <c r="B25">
        <v>0</v>
      </c>
      <c r="C25">
        <v>0</v>
      </c>
      <c r="D25">
        <v>0</v>
      </c>
      <c r="E25">
        <v>2</v>
      </c>
      <c r="F25">
        <v>0</v>
      </c>
      <c r="G25">
        <v>3</v>
      </c>
      <c r="H25">
        <v>1</v>
      </c>
      <c r="I25">
        <v>0</v>
      </c>
      <c r="J25">
        <v>0</v>
      </c>
      <c r="K25">
        <v>0</v>
      </c>
      <c r="L25">
        <v>1</v>
      </c>
      <c r="M25">
        <v>1</v>
      </c>
      <c r="N25">
        <v>1</v>
      </c>
      <c r="O25">
        <v>0</v>
      </c>
      <c r="P25">
        <v>1</v>
      </c>
      <c r="Q25">
        <v>0</v>
      </c>
      <c r="R25">
        <v>1</v>
      </c>
      <c r="S25">
        <v>0</v>
      </c>
      <c r="T25">
        <v>1</v>
      </c>
      <c r="U25">
        <v>1</v>
      </c>
      <c r="V25">
        <v>0</v>
      </c>
      <c r="W25">
        <v>1</v>
      </c>
      <c r="X25">
        <v>0</v>
      </c>
      <c r="Y25">
        <v>0</v>
      </c>
      <c r="Z25">
        <v>0</v>
      </c>
      <c r="AA25">
        <v>0</v>
      </c>
      <c r="AB25">
        <v>0</v>
      </c>
      <c r="AC25">
        <v>1</v>
      </c>
      <c r="AD25">
        <v>0</v>
      </c>
      <c r="AE25">
        <v>0</v>
      </c>
      <c r="AF25">
        <v>0</v>
      </c>
      <c r="AG25">
        <v>1</v>
      </c>
      <c r="AH25">
        <v>0</v>
      </c>
      <c r="AI25">
        <v>0</v>
      </c>
      <c r="AJ25">
        <v>1</v>
      </c>
      <c r="AK25">
        <v>0</v>
      </c>
      <c r="AL25">
        <v>0</v>
      </c>
      <c r="AM25">
        <v>1</v>
      </c>
      <c r="AN25">
        <v>0</v>
      </c>
      <c r="AO25">
        <v>0</v>
      </c>
      <c r="AP25">
        <v>0</v>
      </c>
      <c r="AQ25">
        <v>1</v>
      </c>
      <c r="AR25">
        <v>1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2</v>
      </c>
      <c r="AZ25">
        <v>0</v>
      </c>
      <c r="BA25">
        <v>1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1</v>
      </c>
      <c r="BH25">
        <v>0</v>
      </c>
      <c r="BI25">
        <v>1</v>
      </c>
      <c r="BJ25">
        <v>1</v>
      </c>
      <c r="BK25">
        <v>0</v>
      </c>
      <c r="BL25">
        <v>0</v>
      </c>
      <c r="BM25">
        <v>0</v>
      </c>
      <c r="BN25">
        <v>1</v>
      </c>
      <c r="BO25">
        <v>0</v>
      </c>
      <c r="BP25">
        <v>1</v>
      </c>
      <c r="BQ25">
        <v>1</v>
      </c>
      <c r="BR25">
        <v>0</v>
      </c>
      <c r="BS25">
        <v>0</v>
      </c>
      <c r="BT25">
        <v>0</v>
      </c>
      <c r="BU25">
        <v>0</v>
      </c>
      <c r="BV25">
        <v>1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2</v>
      </c>
      <c r="CG25">
        <v>1</v>
      </c>
      <c r="CH25">
        <v>0</v>
      </c>
      <c r="CI25">
        <v>0</v>
      </c>
      <c r="CJ25">
        <v>0</v>
      </c>
      <c r="CK25">
        <v>0</v>
      </c>
      <c r="CL25">
        <v>1</v>
      </c>
      <c r="CM25">
        <v>0</v>
      </c>
      <c r="CN25">
        <v>1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1</v>
      </c>
    </row>
    <row r="26" spans="1:100" x14ac:dyDescent="0.25">
      <c r="A26">
        <v>1</v>
      </c>
      <c r="B26">
        <v>0</v>
      </c>
      <c r="C26">
        <v>1</v>
      </c>
      <c r="D26">
        <v>2</v>
      </c>
      <c r="E26">
        <v>2</v>
      </c>
      <c r="F26">
        <v>1</v>
      </c>
      <c r="G26">
        <v>1</v>
      </c>
      <c r="H26">
        <v>0</v>
      </c>
      <c r="I26">
        <v>0</v>
      </c>
      <c r="J26">
        <v>1</v>
      </c>
      <c r="K26">
        <v>0</v>
      </c>
      <c r="L26">
        <v>2</v>
      </c>
      <c r="M26">
        <v>0</v>
      </c>
      <c r="N26">
        <v>0</v>
      </c>
      <c r="O26">
        <v>1</v>
      </c>
      <c r="P26">
        <v>0</v>
      </c>
      <c r="Q26">
        <v>0</v>
      </c>
      <c r="R26">
        <v>0</v>
      </c>
      <c r="S26">
        <v>0</v>
      </c>
      <c r="T26">
        <v>1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1</v>
      </c>
      <c r="AI26">
        <v>2</v>
      </c>
      <c r="AJ26">
        <v>1</v>
      </c>
      <c r="AK26">
        <v>1</v>
      </c>
      <c r="AL26">
        <v>0</v>
      </c>
      <c r="AM26">
        <v>0</v>
      </c>
      <c r="AN26">
        <v>2</v>
      </c>
      <c r="AO26">
        <v>1</v>
      </c>
      <c r="AP26">
        <v>1</v>
      </c>
      <c r="AQ26">
        <v>0</v>
      </c>
      <c r="AR26">
        <v>0</v>
      </c>
      <c r="AS26">
        <v>1</v>
      </c>
      <c r="AT26">
        <v>0</v>
      </c>
      <c r="AU26">
        <v>0</v>
      </c>
      <c r="AV26">
        <v>0</v>
      </c>
      <c r="AW26">
        <v>2</v>
      </c>
      <c r="AX26">
        <v>0</v>
      </c>
      <c r="AY26">
        <v>1</v>
      </c>
      <c r="AZ26">
        <v>0</v>
      </c>
      <c r="BA26">
        <v>1</v>
      </c>
      <c r="BB26">
        <v>1</v>
      </c>
      <c r="BC26">
        <v>0</v>
      </c>
      <c r="BD26">
        <v>1</v>
      </c>
      <c r="BE26">
        <v>0</v>
      </c>
      <c r="BF26">
        <v>0</v>
      </c>
      <c r="BG26">
        <v>1</v>
      </c>
      <c r="BH26">
        <v>3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4</v>
      </c>
      <c r="BP26">
        <v>0</v>
      </c>
      <c r="BQ26">
        <v>2</v>
      </c>
      <c r="BR26">
        <v>0</v>
      </c>
      <c r="BS26">
        <v>1</v>
      </c>
      <c r="BT26">
        <v>1</v>
      </c>
      <c r="BU26">
        <v>0</v>
      </c>
      <c r="BV26">
        <v>0</v>
      </c>
      <c r="BW26">
        <v>0</v>
      </c>
      <c r="BX26">
        <v>0</v>
      </c>
      <c r="BY26">
        <v>2</v>
      </c>
      <c r="BZ26">
        <v>0</v>
      </c>
      <c r="CA26">
        <v>0</v>
      </c>
      <c r="CB26">
        <v>0</v>
      </c>
      <c r="CC26">
        <v>0</v>
      </c>
      <c r="CD26">
        <v>2</v>
      </c>
      <c r="CE26">
        <v>0</v>
      </c>
      <c r="CF26">
        <v>0</v>
      </c>
      <c r="CG26">
        <v>0</v>
      </c>
      <c r="CH26">
        <v>1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3</v>
      </c>
      <c r="CO26">
        <v>0</v>
      </c>
      <c r="CP26">
        <v>0</v>
      </c>
      <c r="CQ26">
        <v>0</v>
      </c>
      <c r="CR26">
        <v>0</v>
      </c>
      <c r="CS26">
        <v>2</v>
      </c>
      <c r="CT26">
        <v>0</v>
      </c>
      <c r="CU26">
        <v>1</v>
      </c>
      <c r="CV26">
        <v>0</v>
      </c>
    </row>
    <row r="27" spans="1:100" x14ac:dyDescent="0.25">
      <c r="A27">
        <v>0</v>
      </c>
      <c r="B27">
        <v>0</v>
      </c>
      <c r="C27">
        <v>0</v>
      </c>
      <c r="D27">
        <v>0</v>
      </c>
      <c r="E27">
        <v>0</v>
      </c>
      <c r="F27">
        <v>0</v>
      </c>
      <c r="G27">
        <v>1</v>
      </c>
      <c r="H27">
        <v>0</v>
      </c>
      <c r="I27">
        <v>0</v>
      </c>
      <c r="J27">
        <v>0</v>
      </c>
      <c r="K27">
        <v>2</v>
      </c>
      <c r="L27">
        <v>0</v>
      </c>
      <c r="M27">
        <v>0</v>
      </c>
      <c r="N27">
        <v>1</v>
      </c>
      <c r="O27">
        <v>0</v>
      </c>
      <c r="P27">
        <v>0</v>
      </c>
      <c r="Q27">
        <v>0</v>
      </c>
      <c r="R27">
        <v>2</v>
      </c>
      <c r="S27">
        <v>0</v>
      </c>
      <c r="T27">
        <v>0</v>
      </c>
      <c r="U27">
        <v>0</v>
      </c>
      <c r="V27">
        <v>0</v>
      </c>
      <c r="W27">
        <v>1</v>
      </c>
      <c r="X27">
        <v>1</v>
      </c>
      <c r="Y27">
        <v>0</v>
      </c>
      <c r="Z27">
        <v>0</v>
      </c>
      <c r="AA27">
        <v>0</v>
      </c>
      <c r="AB27">
        <v>0</v>
      </c>
      <c r="AC27">
        <v>3</v>
      </c>
      <c r="AD27">
        <v>0</v>
      </c>
      <c r="AE27">
        <v>0</v>
      </c>
      <c r="AF27">
        <v>1</v>
      </c>
      <c r="AG27">
        <v>0</v>
      </c>
      <c r="AH27">
        <v>0</v>
      </c>
      <c r="AI27">
        <v>1</v>
      </c>
      <c r="AJ27">
        <v>1</v>
      </c>
      <c r="AK27">
        <v>2</v>
      </c>
      <c r="AL27">
        <v>0</v>
      </c>
      <c r="AM27">
        <v>0</v>
      </c>
      <c r="AN27">
        <v>0</v>
      </c>
      <c r="AO27">
        <v>1</v>
      </c>
      <c r="AP27">
        <v>1</v>
      </c>
      <c r="AQ27">
        <v>1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1</v>
      </c>
      <c r="AX27">
        <v>0</v>
      </c>
      <c r="AY27">
        <v>0</v>
      </c>
      <c r="AZ27">
        <v>0</v>
      </c>
      <c r="BA27">
        <v>0</v>
      </c>
      <c r="BB27">
        <v>1</v>
      </c>
      <c r="BC27">
        <v>1</v>
      </c>
      <c r="BD27">
        <v>2</v>
      </c>
      <c r="BE27">
        <v>0</v>
      </c>
      <c r="BF27">
        <v>1</v>
      </c>
      <c r="BG27">
        <v>1</v>
      </c>
      <c r="BH27">
        <v>0</v>
      </c>
      <c r="BI27">
        <v>1</v>
      </c>
      <c r="BJ27">
        <v>0</v>
      </c>
      <c r="BK27">
        <v>0</v>
      </c>
      <c r="BL27">
        <v>2</v>
      </c>
      <c r="BM27">
        <v>2</v>
      </c>
      <c r="BN27">
        <v>0</v>
      </c>
      <c r="BO27">
        <v>1</v>
      </c>
      <c r="BP27">
        <v>0</v>
      </c>
      <c r="BQ27">
        <v>0</v>
      </c>
      <c r="BR27">
        <v>0</v>
      </c>
      <c r="BS27">
        <v>1</v>
      </c>
      <c r="BT27">
        <v>0</v>
      </c>
      <c r="BU27">
        <v>1</v>
      </c>
      <c r="BV27">
        <v>0</v>
      </c>
      <c r="BW27">
        <v>0</v>
      </c>
      <c r="BX27">
        <v>0</v>
      </c>
      <c r="BY27">
        <v>2</v>
      </c>
      <c r="BZ27">
        <v>0</v>
      </c>
      <c r="CA27">
        <v>1</v>
      </c>
      <c r="CB27">
        <v>1</v>
      </c>
      <c r="CC27">
        <v>0</v>
      </c>
      <c r="CD27">
        <v>0</v>
      </c>
      <c r="CE27">
        <v>1</v>
      </c>
      <c r="CF27">
        <v>0</v>
      </c>
      <c r="CG27">
        <v>0</v>
      </c>
      <c r="CH27">
        <v>0</v>
      </c>
      <c r="CI27">
        <v>1</v>
      </c>
      <c r="CJ27">
        <v>0</v>
      </c>
      <c r="CK27">
        <v>0</v>
      </c>
      <c r="CL27">
        <v>1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1</v>
      </c>
      <c r="CS27">
        <v>0</v>
      </c>
      <c r="CT27">
        <v>0</v>
      </c>
      <c r="CU27">
        <v>0</v>
      </c>
      <c r="CV27">
        <v>0</v>
      </c>
    </row>
    <row r="28" spans="1:100" x14ac:dyDescent="0.25">
      <c r="A28">
        <v>0</v>
      </c>
      <c r="B28">
        <v>1</v>
      </c>
      <c r="C28">
        <v>1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0</v>
      </c>
      <c r="N28">
        <v>0</v>
      </c>
      <c r="O28">
        <v>1</v>
      </c>
      <c r="P28">
        <v>1</v>
      </c>
      <c r="Q28">
        <v>0</v>
      </c>
      <c r="R28">
        <v>1</v>
      </c>
      <c r="S28">
        <v>0</v>
      </c>
      <c r="T28">
        <v>1</v>
      </c>
      <c r="U28">
        <v>0</v>
      </c>
      <c r="V28">
        <v>1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2</v>
      </c>
      <c r="AE28">
        <v>0</v>
      </c>
      <c r="AF28">
        <v>1</v>
      </c>
      <c r="AG28">
        <v>0</v>
      </c>
      <c r="AH28">
        <v>2</v>
      </c>
      <c r="AI28">
        <v>0</v>
      </c>
      <c r="AJ28">
        <v>0</v>
      </c>
      <c r="AK28">
        <v>0</v>
      </c>
      <c r="AL28">
        <v>0</v>
      </c>
      <c r="AM28">
        <v>1</v>
      </c>
      <c r="AN28">
        <v>0</v>
      </c>
      <c r="AO28">
        <v>1</v>
      </c>
      <c r="AP28">
        <v>1</v>
      </c>
      <c r="AQ28">
        <v>0</v>
      </c>
      <c r="AR28">
        <v>1</v>
      </c>
      <c r="AS28">
        <v>0</v>
      </c>
      <c r="AT28">
        <v>0</v>
      </c>
      <c r="AU28">
        <v>2</v>
      </c>
      <c r="AV28">
        <v>0</v>
      </c>
      <c r="AW28">
        <v>1</v>
      </c>
      <c r="AX28">
        <v>1</v>
      </c>
      <c r="AY28">
        <v>2</v>
      </c>
      <c r="AZ28">
        <v>0</v>
      </c>
      <c r="BA28">
        <v>0</v>
      </c>
      <c r="BB28">
        <v>0</v>
      </c>
      <c r="BC28">
        <v>0</v>
      </c>
      <c r="BD28">
        <v>1</v>
      </c>
      <c r="BE28">
        <v>2</v>
      </c>
      <c r="BF28">
        <v>0</v>
      </c>
      <c r="BG28">
        <v>1</v>
      </c>
      <c r="BH28">
        <v>1</v>
      </c>
      <c r="BI28">
        <v>1</v>
      </c>
      <c r="BJ28">
        <v>0</v>
      </c>
      <c r="BK28">
        <v>0</v>
      </c>
      <c r="BL28">
        <v>1</v>
      </c>
      <c r="BM28">
        <v>2</v>
      </c>
      <c r="BN28">
        <v>0</v>
      </c>
      <c r="BO28">
        <v>0</v>
      </c>
      <c r="BP28">
        <v>2</v>
      </c>
      <c r="BQ28">
        <v>0</v>
      </c>
      <c r="BR28">
        <v>0</v>
      </c>
      <c r="BS28">
        <v>1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1</v>
      </c>
      <c r="BZ28">
        <v>0</v>
      </c>
      <c r="CA28">
        <v>0</v>
      </c>
      <c r="CB28">
        <v>0</v>
      </c>
      <c r="CC28">
        <v>1</v>
      </c>
      <c r="CD28">
        <v>2</v>
      </c>
      <c r="CE28">
        <v>2</v>
      </c>
      <c r="CF28">
        <v>1</v>
      </c>
      <c r="CG28">
        <v>1</v>
      </c>
      <c r="CH28">
        <v>0</v>
      </c>
      <c r="CI28">
        <v>0</v>
      </c>
      <c r="CJ28">
        <v>0</v>
      </c>
      <c r="CK28">
        <v>1</v>
      </c>
      <c r="CL28">
        <v>0</v>
      </c>
      <c r="CM28">
        <v>0</v>
      </c>
      <c r="CN28">
        <v>0</v>
      </c>
      <c r="CO28">
        <v>0</v>
      </c>
      <c r="CP28">
        <v>1</v>
      </c>
      <c r="CQ28">
        <v>1</v>
      </c>
      <c r="CR28">
        <v>0</v>
      </c>
      <c r="CS28">
        <v>0</v>
      </c>
      <c r="CT28">
        <v>0</v>
      </c>
      <c r="CU28">
        <v>1</v>
      </c>
      <c r="CV28">
        <v>1</v>
      </c>
    </row>
    <row r="29" spans="1:100" x14ac:dyDescent="0.25">
      <c r="A29">
        <v>0</v>
      </c>
      <c r="B29">
        <v>1</v>
      </c>
      <c r="C29">
        <v>0</v>
      </c>
      <c r="D29">
        <v>1</v>
      </c>
      <c r="E29">
        <v>1</v>
      </c>
      <c r="F29">
        <v>0</v>
      </c>
      <c r="G29">
        <v>1</v>
      </c>
      <c r="H29">
        <v>0</v>
      </c>
      <c r="I29">
        <v>1</v>
      </c>
      <c r="J29">
        <v>1</v>
      </c>
      <c r="K29">
        <v>0</v>
      </c>
      <c r="L29">
        <v>0</v>
      </c>
      <c r="M29">
        <v>1</v>
      </c>
      <c r="N29">
        <v>1</v>
      </c>
      <c r="O29">
        <v>4</v>
      </c>
      <c r="P29">
        <v>2</v>
      </c>
      <c r="Q29">
        <v>0</v>
      </c>
      <c r="R29">
        <v>0</v>
      </c>
      <c r="S29">
        <v>0</v>
      </c>
      <c r="T29">
        <v>0</v>
      </c>
      <c r="U29">
        <v>1</v>
      </c>
      <c r="V29">
        <v>0</v>
      </c>
      <c r="W29">
        <v>0</v>
      </c>
      <c r="X29">
        <v>0</v>
      </c>
      <c r="Y29">
        <v>0</v>
      </c>
      <c r="Z29">
        <v>2</v>
      </c>
      <c r="AA29">
        <v>0</v>
      </c>
      <c r="AB29">
        <v>1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1</v>
      </c>
      <c r="AK29">
        <v>1</v>
      </c>
      <c r="AL29">
        <v>0</v>
      </c>
      <c r="AM29">
        <v>0</v>
      </c>
      <c r="AN29">
        <v>1</v>
      </c>
      <c r="AO29">
        <v>0</v>
      </c>
      <c r="AP29">
        <v>0</v>
      </c>
      <c r="AQ29">
        <v>1</v>
      </c>
      <c r="AR29">
        <v>0</v>
      </c>
      <c r="AS29">
        <v>0</v>
      </c>
      <c r="AT29">
        <v>0</v>
      </c>
      <c r="AU29">
        <v>0</v>
      </c>
      <c r="AV29">
        <v>1</v>
      </c>
      <c r="AW29">
        <v>1</v>
      </c>
      <c r="AX29">
        <v>1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1</v>
      </c>
      <c r="BG29">
        <v>1</v>
      </c>
      <c r="BH29">
        <v>0</v>
      </c>
      <c r="BI29">
        <v>1</v>
      </c>
      <c r="BJ29">
        <v>1</v>
      </c>
      <c r="BK29">
        <v>0</v>
      </c>
      <c r="BL29">
        <v>0</v>
      </c>
      <c r="BM29">
        <v>0</v>
      </c>
      <c r="BN29">
        <v>2</v>
      </c>
      <c r="BO29">
        <v>0</v>
      </c>
      <c r="BP29">
        <v>1</v>
      </c>
      <c r="BQ29">
        <v>0</v>
      </c>
      <c r="BR29">
        <v>0</v>
      </c>
      <c r="BS29">
        <v>1</v>
      </c>
      <c r="BT29">
        <v>0</v>
      </c>
      <c r="BU29">
        <v>1</v>
      </c>
      <c r="BV29">
        <v>0</v>
      </c>
      <c r="BW29">
        <v>1</v>
      </c>
      <c r="BX29">
        <v>1</v>
      </c>
      <c r="BY29">
        <v>1</v>
      </c>
      <c r="BZ29">
        <v>1</v>
      </c>
      <c r="CA29">
        <v>0</v>
      </c>
      <c r="CB29">
        <v>2</v>
      </c>
      <c r="CC29">
        <v>0</v>
      </c>
      <c r="CD29">
        <v>0</v>
      </c>
      <c r="CE29">
        <v>0</v>
      </c>
      <c r="CF29">
        <v>0</v>
      </c>
      <c r="CG29">
        <v>1</v>
      </c>
      <c r="CH29">
        <v>1</v>
      </c>
      <c r="CI29">
        <v>1</v>
      </c>
      <c r="CJ29">
        <v>0</v>
      </c>
      <c r="CK29">
        <v>0</v>
      </c>
      <c r="CL29">
        <v>1</v>
      </c>
      <c r="CM29">
        <v>1</v>
      </c>
      <c r="CN29">
        <v>1</v>
      </c>
      <c r="CO29">
        <v>0</v>
      </c>
      <c r="CP29">
        <v>0</v>
      </c>
      <c r="CQ29">
        <v>0</v>
      </c>
      <c r="CR29">
        <v>3</v>
      </c>
      <c r="CS29">
        <v>0</v>
      </c>
      <c r="CT29">
        <v>0</v>
      </c>
      <c r="CU29">
        <v>1</v>
      </c>
      <c r="CV29">
        <v>1</v>
      </c>
    </row>
    <row r="30" spans="1:100" x14ac:dyDescent="0.25">
      <c r="A30">
        <v>0</v>
      </c>
      <c r="B30">
        <v>1</v>
      </c>
      <c r="C30">
        <v>2</v>
      </c>
      <c r="D30">
        <v>1</v>
      </c>
      <c r="E30">
        <v>1</v>
      </c>
      <c r="F30">
        <v>0</v>
      </c>
      <c r="G30">
        <v>1</v>
      </c>
      <c r="H30">
        <v>0</v>
      </c>
      <c r="I30">
        <v>0</v>
      </c>
      <c r="J30">
        <v>0</v>
      </c>
      <c r="K30">
        <v>0</v>
      </c>
      <c r="L30">
        <v>1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1</v>
      </c>
      <c r="W30">
        <v>0</v>
      </c>
      <c r="X30">
        <v>1</v>
      </c>
      <c r="Y30">
        <v>0</v>
      </c>
      <c r="Z30">
        <v>0</v>
      </c>
      <c r="AA30">
        <v>2</v>
      </c>
      <c r="AB30">
        <v>0</v>
      </c>
      <c r="AC30">
        <v>2</v>
      </c>
      <c r="AD30">
        <v>2</v>
      </c>
      <c r="AE30">
        <v>1</v>
      </c>
      <c r="AF30">
        <v>1</v>
      </c>
      <c r="AG30">
        <v>0</v>
      </c>
      <c r="AH30">
        <v>0</v>
      </c>
      <c r="AI30">
        <v>0</v>
      </c>
      <c r="AJ30">
        <v>0</v>
      </c>
      <c r="AK30">
        <v>1</v>
      </c>
      <c r="AL30">
        <v>2</v>
      </c>
      <c r="AM30">
        <v>0</v>
      </c>
      <c r="AN30">
        <v>2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1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1</v>
      </c>
      <c r="BD30">
        <v>0</v>
      </c>
      <c r="BE30">
        <v>1</v>
      </c>
      <c r="BF30">
        <v>0</v>
      </c>
      <c r="BG30">
        <v>1</v>
      </c>
      <c r="BH30">
        <v>1</v>
      </c>
      <c r="BI30">
        <v>1</v>
      </c>
      <c r="BJ30">
        <v>0</v>
      </c>
      <c r="BK30">
        <v>0</v>
      </c>
      <c r="BL30">
        <v>1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1</v>
      </c>
      <c r="BV30">
        <v>2</v>
      </c>
      <c r="BW30">
        <v>1</v>
      </c>
      <c r="BX30">
        <v>0</v>
      </c>
      <c r="BY30">
        <v>1</v>
      </c>
      <c r="BZ30">
        <v>1</v>
      </c>
      <c r="CA30">
        <v>0</v>
      </c>
      <c r="CB30">
        <v>1</v>
      </c>
      <c r="CC30">
        <v>0</v>
      </c>
      <c r="CD30">
        <v>2</v>
      </c>
      <c r="CE30">
        <v>1</v>
      </c>
      <c r="CF30">
        <v>0</v>
      </c>
      <c r="CG30">
        <v>0</v>
      </c>
      <c r="CH30">
        <v>2</v>
      </c>
      <c r="CI30">
        <v>1</v>
      </c>
      <c r="CJ30">
        <v>2</v>
      </c>
      <c r="CK30">
        <v>1</v>
      </c>
      <c r="CL30">
        <v>1</v>
      </c>
      <c r="CM30">
        <v>0</v>
      </c>
      <c r="CN30">
        <v>2</v>
      </c>
      <c r="CO30">
        <v>0</v>
      </c>
      <c r="CP30">
        <v>1</v>
      </c>
      <c r="CQ30">
        <v>1</v>
      </c>
      <c r="CR30">
        <v>0</v>
      </c>
      <c r="CS30">
        <v>1</v>
      </c>
      <c r="CT30">
        <v>0</v>
      </c>
      <c r="CU30">
        <v>0</v>
      </c>
      <c r="CV30">
        <v>0</v>
      </c>
    </row>
    <row r="31" spans="1:100" x14ac:dyDescent="0.25">
      <c r="A31">
        <v>0</v>
      </c>
      <c r="B31">
        <v>0</v>
      </c>
      <c r="C31">
        <v>0</v>
      </c>
      <c r="D31">
        <v>2</v>
      </c>
      <c r="E31">
        <v>0</v>
      </c>
      <c r="F31">
        <v>1</v>
      </c>
      <c r="G31">
        <v>0</v>
      </c>
      <c r="H31">
        <v>0</v>
      </c>
      <c r="I31">
        <v>0</v>
      </c>
      <c r="J31">
        <v>1</v>
      </c>
      <c r="K31">
        <v>0</v>
      </c>
      <c r="L31">
        <v>0</v>
      </c>
      <c r="M31">
        <v>0</v>
      </c>
      <c r="N31">
        <v>1</v>
      </c>
      <c r="O31">
        <v>1</v>
      </c>
      <c r="P31">
        <v>1</v>
      </c>
      <c r="Q31">
        <v>2</v>
      </c>
      <c r="R31">
        <v>1</v>
      </c>
      <c r="S31">
        <v>1</v>
      </c>
      <c r="T31">
        <v>0</v>
      </c>
      <c r="U31">
        <v>0</v>
      </c>
      <c r="V31">
        <v>0</v>
      </c>
      <c r="W31">
        <v>1</v>
      </c>
      <c r="X31">
        <v>0</v>
      </c>
      <c r="Y31">
        <v>0</v>
      </c>
      <c r="Z31">
        <v>0</v>
      </c>
      <c r="AA31">
        <v>2</v>
      </c>
      <c r="AB31">
        <v>0</v>
      </c>
      <c r="AC31">
        <v>0</v>
      </c>
      <c r="AD31">
        <v>0</v>
      </c>
      <c r="AE31">
        <v>1</v>
      </c>
      <c r="AF31">
        <v>0</v>
      </c>
      <c r="AG31">
        <v>2</v>
      </c>
      <c r="AH31">
        <v>0</v>
      </c>
      <c r="AI31">
        <v>0</v>
      </c>
      <c r="AJ31">
        <v>0</v>
      </c>
      <c r="AK31">
        <v>1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1</v>
      </c>
      <c r="AS31">
        <v>0</v>
      </c>
      <c r="AT31">
        <v>0</v>
      </c>
      <c r="AU31">
        <v>1</v>
      </c>
      <c r="AV31">
        <v>0</v>
      </c>
      <c r="AW31">
        <v>1</v>
      </c>
      <c r="AX31">
        <v>1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1</v>
      </c>
      <c r="BJ31">
        <v>1</v>
      </c>
      <c r="BK31">
        <v>0</v>
      </c>
      <c r="BL31">
        <v>1</v>
      </c>
      <c r="BM31">
        <v>0</v>
      </c>
      <c r="BN31">
        <v>1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1</v>
      </c>
      <c r="BW31">
        <v>0</v>
      </c>
      <c r="BX31">
        <v>0</v>
      </c>
      <c r="BY31">
        <v>2</v>
      </c>
      <c r="BZ31">
        <v>0</v>
      </c>
      <c r="CA31">
        <v>0</v>
      </c>
      <c r="CB31">
        <v>0</v>
      </c>
      <c r="CC31">
        <v>2</v>
      </c>
      <c r="CD31">
        <v>0</v>
      </c>
      <c r="CE31">
        <v>0</v>
      </c>
      <c r="CF31">
        <v>0</v>
      </c>
      <c r="CG31">
        <v>0</v>
      </c>
      <c r="CH31">
        <v>1</v>
      </c>
      <c r="CI31">
        <v>0</v>
      </c>
      <c r="CJ31">
        <v>1</v>
      </c>
      <c r="CK31">
        <v>3</v>
      </c>
      <c r="CL31">
        <v>0</v>
      </c>
      <c r="CM31">
        <v>0</v>
      </c>
      <c r="CN31">
        <v>0</v>
      </c>
      <c r="CO31">
        <v>1</v>
      </c>
      <c r="CP31">
        <v>0</v>
      </c>
      <c r="CQ31">
        <v>0</v>
      </c>
      <c r="CR31">
        <v>1</v>
      </c>
      <c r="CS31">
        <v>1</v>
      </c>
      <c r="CT31">
        <v>0</v>
      </c>
      <c r="CU31">
        <v>0</v>
      </c>
      <c r="CV31">
        <v>1</v>
      </c>
    </row>
    <row r="32" spans="1:100" x14ac:dyDescent="0.25">
      <c r="A32">
        <v>1</v>
      </c>
      <c r="B32">
        <v>0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0</v>
      </c>
      <c r="K32">
        <v>0</v>
      </c>
      <c r="L32">
        <v>0</v>
      </c>
      <c r="M32">
        <v>2</v>
      </c>
      <c r="N32">
        <v>2</v>
      </c>
      <c r="O32">
        <v>0</v>
      </c>
      <c r="P32">
        <v>0</v>
      </c>
      <c r="Q32">
        <v>1</v>
      </c>
      <c r="R32">
        <v>0</v>
      </c>
      <c r="S32">
        <v>1</v>
      </c>
      <c r="T32">
        <v>1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2</v>
      </c>
      <c r="AB32">
        <v>1</v>
      </c>
      <c r="AC32">
        <v>0</v>
      </c>
      <c r="AD32">
        <v>1</v>
      </c>
      <c r="AE32">
        <v>1</v>
      </c>
      <c r="AF32">
        <v>0</v>
      </c>
      <c r="AG32">
        <v>0</v>
      </c>
      <c r="AH32">
        <v>2</v>
      </c>
      <c r="AI32">
        <v>0</v>
      </c>
      <c r="AJ32">
        <v>1</v>
      </c>
      <c r="AK32">
        <v>1</v>
      </c>
      <c r="AL32">
        <v>0</v>
      </c>
      <c r="AM32">
        <v>2</v>
      </c>
      <c r="AN32">
        <v>0</v>
      </c>
      <c r="AO32">
        <v>3</v>
      </c>
      <c r="AP32">
        <v>1</v>
      </c>
      <c r="AQ32">
        <v>0</v>
      </c>
      <c r="AR32">
        <v>0</v>
      </c>
      <c r="AS32">
        <v>1</v>
      </c>
      <c r="AT32">
        <v>0</v>
      </c>
      <c r="AU32">
        <v>0</v>
      </c>
      <c r="AV32">
        <v>1</v>
      </c>
      <c r="AW32">
        <v>1</v>
      </c>
      <c r="AX32">
        <v>0</v>
      </c>
      <c r="AY32">
        <v>0</v>
      </c>
      <c r="AZ32">
        <v>2</v>
      </c>
      <c r="BA32">
        <v>1</v>
      </c>
      <c r="BB32">
        <v>1</v>
      </c>
      <c r="BC32">
        <v>0</v>
      </c>
      <c r="BD32">
        <v>0</v>
      </c>
      <c r="BE32">
        <v>1</v>
      </c>
      <c r="BF32">
        <v>2</v>
      </c>
      <c r="BG32">
        <v>0</v>
      </c>
      <c r="BH32">
        <v>1</v>
      </c>
      <c r="BI32">
        <v>0</v>
      </c>
      <c r="BJ32">
        <v>1</v>
      </c>
      <c r="BK32">
        <v>3</v>
      </c>
      <c r="BL32">
        <v>2</v>
      </c>
      <c r="BM32">
        <v>0</v>
      </c>
      <c r="BN32">
        <v>2</v>
      </c>
      <c r="BO32">
        <v>0</v>
      </c>
      <c r="BP32">
        <v>3</v>
      </c>
      <c r="BQ32">
        <v>1</v>
      </c>
      <c r="BR32">
        <v>1</v>
      </c>
      <c r="BS32">
        <v>0</v>
      </c>
      <c r="BT32">
        <v>0</v>
      </c>
      <c r="BU32">
        <v>3</v>
      </c>
      <c r="BV32">
        <v>2</v>
      </c>
      <c r="BW32">
        <v>0</v>
      </c>
      <c r="BX32">
        <v>0</v>
      </c>
      <c r="BY32">
        <v>0</v>
      </c>
      <c r="BZ32">
        <v>0</v>
      </c>
      <c r="CA32">
        <v>2</v>
      </c>
      <c r="CB32">
        <v>0</v>
      </c>
      <c r="CC32">
        <v>0</v>
      </c>
      <c r="CD32">
        <v>1</v>
      </c>
      <c r="CE32">
        <v>2</v>
      </c>
      <c r="CF32">
        <v>1</v>
      </c>
      <c r="CG32">
        <v>0</v>
      </c>
      <c r="CH32">
        <v>3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1</v>
      </c>
      <c r="CO32">
        <v>1</v>
      </c>
      <c r="CP32">
        <v>0</v>
      </c>
      <c r="CQ32">
        <v>1</v>
      </c>
      <c r="CR32">
        <v>2</v>
      </c>
      <c r="CS32">
        <v>0</v>
      </c>
      <c r="CT32">
        <v>0</v>
      </c>
      <c r="CU32">
        <v>0</v>
      </c>
      <c r="CV32">
        <v>0</v>
      </c>
    </row>
    <row r="33" spans="1:100" x14ac:dyDescent="0.25">
      <c r="A33">
        <v>1</v>
      </c>
      <c r="B33">
        <v>2</v>
      </c>
      <c r="C33">
        <v>0</v>
      </c>
      <c r="D33">
        <v>1</v>
      </c>
      <c r="E33">
        <v>0</v>
      </c>
      <c r="F33">
        <v>2</v>
      </c>
      <c r="G33">
        <v>1</v>
      </c>
      <c r="H33">
        <v>1</v>
      </c>
      <c r="I33">
        <v>0</v>
      </c>
      <c r="J33">
        <v>0</v>
      </c>
      <c r="K33">
        <v>0</v>
      </c>
      <c r="L33">
        <v>0</v>
      </c>
      <c r="M33">
        <v>1</v>
      </c>
      <c r="N33">
        <v>1</v>
      </c>
      <c r="O33">
        <v>0</v>
      </c>
      <c r="P33">
        <v>1</v>
      </c>
      <c r="Q33">
        <v>1</v>
      </c>
      <c r="R33">
        <v>0</v>
      </c>
      <c r="S33">
        <v>1</v>
      </c>
      <c r="T33">
        <v>0</v>
      </c>
      <c r="U33">
        <v>0</v>
      </c>
      <c r="V33">
        <v>0</v>
      </c>
      <c r="W33">
        <v>0</v>
      </c>
      <c r="X33">
        <v>1</v>
      </c>
      <c r="Y33">
        <v>2</v>
      </c>
      <c r="Z33">
        <v>0</v>
      </c>
      <c r="AA33">
        <v>1</v>
      </c>
      <c r="AB33">
        <v>0</v>
      </c>
      <c r="AC33">
        <v>0</v>
      </c>
      <c r="AD33">
        <v>0</v>
      </c>
      <c r="AE33">
        <v>0</v>
      </c>
      <c r="AF33">
        <v>1</v>
      </c>
      <c r="AG33">
        <v>1</v>
      </c>
      <c r="AH33">
        <v>0</v>
      </c>
      <c r="AI33">
        <v>0</v>
      </c>
      <c r="AJ33">
        <v>1</v>
      </c>
      <c r="AK33">
        <v>0</v>
      </c>
      <c r="AL33">
        <v>1</v>
      </c>
      <c r="AM33">
        <v>1</v>
      </c>
      <c r="AN33">
        <v>1</v>
      </c>
      <c r="AO33">
        <v>1</v>
      </c>
      <c r="AP33">
        <v>1</v>
      </c>
      <c r="AQ33">
        <v>0</v>
      </c>
      <c r="AR33">
        <v>0</v>
      </c>
      <c r="AS33">
        <v>0</v>
      </c>
      <c r="AT33">
        <v>1</v>
      </c>
      <c r="AU33">
        <v>2</v>
      </c>
      <c r="AV33">
        <v>2</v>
      </c>
      <c r="AW33">
        <v>1</v>
      </c>
      <c r="AX33">
        <v>0</v>
      </c>
      <c r="AY33">
        <v>0</v>
      </c>
      <c r="AZ33">
        <v>0</v>
      </c>
      <c r="BA33">
        <v>3</v>
      </c>
      <c r="BB33">
        <v>2</v>
      </c>
      <c r="BC33">
        <v>0</v>
      </c>
      <c r="BD33">
        <v>1</v>
      </c>
      <c r="BE33">
        <v>0</v>
      </c>
      <c r="BF33">
        <v>1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1</v>
      </c>
      <c r="BP33">
        <v>1</v>
      </c>
      <c r="BQ33">
        <v>0</v>
      </c>
      <c r="BR33">
        <v>1</v>
      </c>
      <c r="BS33">
        <v>0</v>
      </c>
      <c r="BT33">
        <v>0</v>
      </c>
      <c r="BU33">
        <v>2</v>
      </c>
      <c r="BV33">
        <v>1</v>
      </c>
      <c r="BW33">
        <v>1</v>
      </c>
      <c r="BX33">
        <v>1</v>
      </c>
      <c r="BY33">
        <v>1</v>
      </c>
      <c r="BZ33">
        <v>0</v>
      </c>
      <c r="CA33">
        <v>1</v>
      </c>
      <c r="CB33">
        <v>0</v>
      </c>
      <c r="CC33">
        <v>0</v>
      </c>
      <c r="CD33">
        <v>1</v>
      </c>
      <c r="CE33">
        <v>2</v>
      </c>
      <c r="CF33">
        <v>0</v>
      </c>
      <c r="CG33">
        <v>0</v>
      </c>
      <c r="CH33">
        <v>1</v>
      </c>
      <c r="CI33">
        <v>1</v>
      </c>
      <c r="CJ33">
        <v>0</v>
      </c>
      <c r="CK33">
        <v>0</v>
      </c>
      <c r="CL33">
        <v>1</v>
      </c>
      <c r="CM33">
        <v>1</v>
      </c>
      <c r="CN33">
        <v>0</v>
      </c>
      <c r="CO33">
        <v>1</v>
      </c>
      <c r="CP33">
        <v>2</v>
      </c>
      <c r="CQ33">
        <v>1</v>
      </c>
      <c r="CR33">
        <v>1</v>
      </c>
      <c r="CS33">
        <v>1</v>
      </c>
      <c r="CT33">
        <v>2</v>
      </c>
      <c r="CU33">
        <v>0</v>
      </c>
      <c r="CV33">
        <v>0</v>
      </c>
    </row>
    <row r="34" spans="1:100" x14ac:dyDescent="0.25">
      <c r="A34">
        <v>1</v>
      </c>
      <c r="B34">
        <v>0</v>
      </c>
      <c r="C34">
        <v>0</v>
      </c>
      <c r="D34">
        <v>0</v>
      </c>
      <c r="E34">
        <v>0</v>
      </c>
      <c r="F34">
        <v>0</v>
      </c>
      <c r="G34">
        <v>1</v>
      </c>
      <c r="H34">
        <v>0</v>
      </c>
      <c r="I34">
        <v>1</v>
      </c>
      <c r="J34">
        <v>1</v>
      </c>
      <c r="K34">
        <v>0</v>
      </c>
      <c r="L34">
        <v>1</v>
      </c>
      <c r="M34">
        <v>2</v>
      </c>
      <c r="N34">
        <v>2</v>
      </c>
      <c r="O34">
        <v>1</v>
      </c>
      <c r="P34">
        <v>0</v>
      </c>
      <c r="Q34">
        <v>1</v>
      </c>
      <c r="R34">
        <v>0</v>
      </c>
      <c r="S34">
        <v>0</v>
      </c>
      <c r="T34">
        <v>0</v>
      </c>
      <c r="U34">
        <v>1</v>
      </c>
      <c r="V34">
        <v>2</v>
      </c>
      <c r="W34">
        <v>0</v>
      </c>
      <c r="X34">
        <v>1</v>
      </c>
      <c r="Y34">
        <v>1</v>
      </c>
      <c r="Z34">
        <v>0</v>
      </c>
      <c r="AA34">
        <v>0</v>
      </c>
      <c r="AB34">
        <v>0</v>
      </c>
      <c r="AC34">
        <v>1</v>
      </c>
      <c r="AD34">
        <v>1</v>
      </c>
      <c r="AE34">
        <v>0</v>
      </c>
      <c r="AF34">
        <v>2</v>
      </c>
      <c r="AG34">
        <v>0</v>
      </c>
      <c r="AH34">
        <v>0</v>
      </c>
      <c r="AI34">
        <v>0</v>
      </c>
      <c r="AJ34">
        <v>1</v>
      </c>
      <c r="AK34">
        <v>0</v>
      </c>
      <c r="AL34">
        <v>2</v>
      </c>
      <c r="AM34">
        <v>1</v>
      </c>
      <c r="AN34">
        <v>1</v>
      </c>
      <c r="AO34">
        <v>1</v>
      </c>
      <c r="AP34">
        <v>0</v>
      </c>
      <c r="AQ34">
        <v>0</v>
      </c>
      <c r="AR34">
        <v>1</v>
      </c>
      <c r="AS34">
        <v>0</v>
      </c>
      <c r="AT34">
        <v>0</v>
      </c>
      <c r="AU34">
        <v>0</v>
      </c>
      <c r="AV34">
        <v>2</v>
      </c>
      <c r="AW34">
        <v>0</v>
      </c>
      <c r="AX34">
        <v>0</v>
      </c>
      <c r="AY34">
        <v>1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</v>
      </c>
      <c r="BL34">
        <v>0</v>
      </c>
      <c r="BM34">
        <v>1</v>
      </c>
      <c r="BN34">
        <v>2</v>
      </c>
      <c r="BO34">
        <v>0</v>
      </c>
      <c r="BP34">
        <v>0</v>
      </c>
      <c r="BQ34">
        <v>1</v>
      </c>
      <c r="BR34">
        <v>0</v>
      </c>
      <c r="BS34">
        <v>2</v>
      </c>
      <c r="BT34">
        <v>0</v>
      </c>
      <c r="BU34">
        <v>2</v>
      </c>
      <c r="BV34">
        <v>1</v>
      </c>
      <c r="BW34">
        <v>0</v>
      </c>
      <c r="BX34">
        <v>0</v>
      </c>
      <c r="BY34">
        <v>1</v>
      </c>
      <c r="BZ34">
        <v>1</v>
      </c>
      <c r="CA34">
        <v>1</v>
      </c>
      <c r="CB34">
        <v>2</v>
      </c>
      <c r="CC34">
        <v>0</v>
      </c>
      <c r="CD34">
        <v>0</v>
      </c>
      <c r="CE34">
        <v>2</v>
      </c>
      <c r="CF34">
        <v>1</v>
      </c>
      <c r="CG34">
        <v>0</v>
      </c>
      <c r="CH34">
        <v>0</v>
      </c>
      <c r="CI34">
        <v>0</v>
      </c>
      <c r="CJ34">
        <v>0</v>
      </c>
      <c r="CK34">
        <v>1</v>
      </c>
      <c r="CL34">
        <v>0</v>
      </c>
      <c r="CM34">
        <v>0</v>
      </c>
      <c r="CN34">
        <v>0</v>
      </c>
      <c r="CO34">
        <v>1</v>
      </c>
      <c r="CP34">
        <v>0</v>
      </c>
      <c r="CQ34">
        <v>1</v>
      </c>
      <c r="CR34">
        <v>0</v>
      </c>
      <c r="CS34">
        <v>0</v>
      </c>
      <c r="CT34">
        <v>1</v>
      </c>
      <c r="CU34">
        <v>1</v>
      </c>
      <c r="CV34">
        <v>2</v>
      </c>
    </row>
    <row r="35" spans="1:100" x14ac:dyDescent="0.25">
      <c r="A35">
        <v>2</v>
      </c>
      <c r="B35">
        <v>0</v>
      </c>
      <c r="C35">
        <v>1</v>
      </c>
      <c r="D35">
        <v>2</v>
      </c>
      <c r="E35">
        <v>0</v>
      </c>
      <c r="F35">
        <v>1</v>
      </c>
      <c r="G35">
        <v>0</v>
      </c>
      <c r="H35">
        <v>2</v>
      </c>
      <c r="I35">
        <v>0</v>
      </c>
      <c r="J35">
        <v>0</v>
      </c>
      <c r="K35">
        <v>1</v>
      </c>
      <c r="L35">
        <v>1</v>
      </c>
      <c r="M35">
        <v>0</v>
      </c>
      <c r="N35">
        <v>0</v>
      </c>
      <c r="O35">
        <v>0</v>
      </c>
      <c r="P35">
        <v>0</v>
      </c>
      <c r="Q35">
        <v>0</v>
      </c>
      <c r="R35">
        <v>1</v>
      </c>
      <c r="S35">
        <v>0</v>
      </c>
      <c r="T35">
        <v>0</v>
      </c>
      <c r="U35">
        <v>1</v>
      </c>
      <c r="V35">
        <v>0</v>
      </c>
      <c r="W35">
        <v>1</v>
      </c>
      <c r="X35">
        <v>0</v>
      </c>
      <c r="Y35">
        <v>0</v>
      </c>
      <c r="Z35">
        <v>0</v>
      </c>
      <c r="AA35">
        <v>1</v>
      </c>
      <c r="AB35">
        <v>0</v>
      </c>
      <c r="AC35">
        <v>0</v>
      </c>
      <c r="AD35">
        <v>0</v>
      </c>
      <c r="AE35">
        <v>0</v>
      </c>
      <c r="AF35">
        <v>1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1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3</v>
      </c>
      <c r="AV35">
        <v>0</v>
      </c>
      <c r="AW35">
        <v>0</v>
      </c>
      <c r="AX35">
        <v>1</v>
      </c>
      <c r="AY35">
        <v>1</v>
      </c>
      <c r="AZ35">
        <v>1</v>
      </c>
      <c r="BA35">
        <v>0</v>
      </c>
      <c r="BB35">
        <v>0</v>
      </c>
      <c r="BC35">
        <v>0</v>
      </c>
      <c r="BD35">
        <v>1</v>
      </c>
      <c r="BE35">
        <v>0</v>
      </c>
      <c r="BF35">
        <v>3</v>
      </c>
      <c r="BG35">
        <v>0</v>
      </c>
      <c r="BH35">
        <v>2</v>
      </c>
      <c r="BI35">
        <v>0</v>
      </c>
      <c r="BJ35">
        <v>1</v>
      </c>
      <c r="BK35">
        <v>0</v>
      </c>
      <c r="BL35">
        <v>1</v>
      </c>
      <c r="BM35">
        <v>0</v>
      </c>
      <c r="BN35">
        <v>1</v>
      </c>
      <c r="BO35">
        <v>0</v>
      </c>
      <c r="BP35">
        <v>1</v>
      </c>
      <c r="BQ35">
        <v>1</v>
      </c>
      <c r="BR35">
        <v>0</v>
      </c>
      <c r="BS35">
        <v>1</v>
      </c>
      <c r="BT35">
        <v>2</v>
      </c>
      <c r="BU35">
        <v>0</v>
      </c>
      <c r="BV35">
        <v>1</v>
      </c>
      <c r="BW35">
        <v>1</v>
      </c>
      <c r="BX35">
        <v>0</v>
      </c>
      <c r="BY35">
        <v>1</v>
      </c>
      <c r="BZ35">
        <v>0</v>
      </c>
      <c r="CA35">
        <v>1</v>
      </c>
      <c r="CB35">
        <v>0</v>
      </c>
      <c r="CC35">
        <v>0</v>
      </c>
      <c r="CD35">
        <v>0</v>
      </c>
      <c r="CE35">
        <v>0</v>
      </c>
      <c r="CF35">
        <v>1</v>
      </c>
      <c r="CG35">
        <v>1</v>
      </c>
      <c r="CH35">
        <v>1</v>
      </c>
      <c r="CI35">
        <v>1</v>
      </c>
      <c r="CJ35">
        <v>0</v>
      </c>
      <c r="CK35">
        <v>1</v>
      </c>
      <c r="CL35">
        <v>0</v>
      </c>
      <c r="CM35">
        <v>1</v>
      </c>
      <c r="CN35">
        <v>1</v>
      </c>
      <c r="CO35">
        <v>0</v>
      </c>
      <c r="CP35">
        <v>1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</row>
    <row r="36" spans="1:100" x14ac:dyDescent="0.25">
      <c r="A36">
        <v>1</v>
      </c>
      <c r="B36">
        <v>0</v>
      </c>
      <c r="C36">
        <v>1</v>
      </c>
      <c r="D36">
        <v>1</v>
      </c>
      <c r="E36">
        <v>0</v>
      </c>
      <c r="F36">
        <v>0</v>
      </c>
      <c r="G36">
        <v>1</v>
      </c>
      <c r="H36">
        <v>0</v>
      </c>
      <c r="I36">
        <v>0</v>
      </c>
      <c r="J36">
        <v>1</v>
      </c>
      <c r="K36">
        <v>1</v>
      </c>
      <c r="L36">
        <v>0</v>
      </c>
      <c r="M36">
        <v>0</v>
      </c>
      <c r="N36">
        <v>1</v>
      </c>
      <c r="O36">
        <v>2</v>
      </c>
      <c r="P36">
        <v>1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</v>
      </c>
      <c r="Z36">
        <v>2</v>
      </c>
      <c r="AA36">
        <v>0</v>
      </c>
      <c r="AB36">
        <v>1</v>
      </c>
      <c r="AC36">
        <v>0</v>
      </c>
      <c r="AD36">
        <v>0</v>
      </c>
      <c r="AE36">
        <v>0</v>
      </c>
      <c r="AF36">
        <v>1</v>
      </c>
      <c r="AG36">
        <v>0</v>
      </c>
      <c r="AH36">
        <v>0</v>
      </c>
      <c r="AI36">
        <v>1</v>
      </c>
      <c r="AJ36">
        <v>0</v>
      </c>
      <c r="AK36">
        <v>1</v>
      </c>
      <c r="AL36">
        <v>2</v>
      </c>
      <c r="AM36">
        <v>1</v>
      </c>
      <c r="AN36">
        <v>1</v>
      </c>
      <c r="AO36">
        <v>0</v>
      </c>
      <c r="AP36">
        <v>0</v>
      </c>
      <c r="AQ36">
        <v>1</v>
      </c>
      <c r="AR36">
        <v>1</v>
      </c>
      <c r="AS36">
        <v>3</v>
      </c>
      <c r="AT36">
        <v>0</v>
      </c>
      <c r="AU36">
        <v>0</v>
      </c>
      <c r="AV36">
        <v>0</v>
      </c>
      <c r="AW36">
        <v>1</v>
      </c>
      <c r="AX36">
        <v>0</v>
      </c>
      <c r="AY36">
        <v>1</v>
      </c>
      <c r="AZ36">
        <v>1</v>
      </c>
      <c r="BA36">
        <v>0</v>
      </c>
      <c r="BB36">
        <v>0</v>
      </c>
      <c r="BC36">
        <v>0</v>
      </c>
      <c r="BD36">
        <v>0</v>
      </c>
      <c r="BE36">
        <v>2</v>
      </c>
      <c r="BF36">
        <v>1</v>
      </c>
      <c r="BG36">
        <v>0</v>
      </c>
      <c r="BH36">
        <v>1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1</v>
      </c>
      <c r="BP36">
        <v>0</v>
      </c>
      <c r="BQ36">
        <v>1</v>
      </c>
      <c r="BR36">
        <v>0</v>
      </c>
      <c r="BS36">
        <v>1</v>
      </c>
      <c r="BT36">
        <v>2</v>
      </c>
      <c r="BU36">
        <v>0</v>
      </c>
      <c r="BV36">
        <v>0</v>
      </c>
      <c r="BW36">
        <v>1</v>
      </c>
      <c r="BX36">
        <v>0</v>
      </c>
      <c r="BY36">
        <v>0</v>
      </c>
      <c r="BZ36">
        <v>1</v>
      </c>
      <c r="CA36">
        <v>1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1</v>
      </c>
      <c r="CJ36">
        <v>0</v>
      </c>
      <c r="CK36">
        <v>0</v>
      </c>
      <c r="CL36">
        <v>1</v>
      </c>
      <c r="CM36">
        <v>1</v>
      </c>
      <c r="CN36">
        <v>1</v>
      </c>
      <c r="CO36">
        <v>0</v>
      </c>
      <c r="CP36">
        <v>0</v>
      </c>
      <c r="CQ36">
        <v>1</v>
      </c>
      <c r="CR36">
        <v>1</v>
      </c>
      <c r="CS36">
        <v>1</v>
      </c>
      <c r="CT36">
        <v>2</v>
      </c>
      <c r="CU36">
        <v>1</v>
      </c>
      <c r="CV36">
        <v>0</v>
      </c>
    </row>
    <row r="37" spans="1:100" x14ac:dyDescent="0.25">
      <c r="A37">
        <v>1</v>
      </c>
      <c r="B37">
        <v>0</v>
      </c>
      <c r="C37">
        <v>0</v>
      </c>
      <c r="D37">
        <v>0</v>
      </c>
      <c r="E37">
        <v>0</v>
      </c>
      <c r="F37">
        <v>1</v>
      </c>
      <c r="G37">
        <v>0</v>
      </c>
      <c r="H37">
        <v>0</v>
      </c>
      <c r="I37">
        <v>3</v>
      </c>
      <c r="J37">
        <v>1</v>
      </c>
      <c r="K37">
        <v>1</v>
      </c>
      <c r="L37">
        <v>0</v>
      </c>
      <c r="M37">
        <v>2</v>
      </c>
      <c r="N37">
        <v>1</v>
      </c>
      <c r="O37">
        <v>1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1</v>
      </c>
      <c r="Z37">
        <v>1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1</v>
      </c>
      <c r="AI37">
        <v>1</v>
      </c>
      <c r="AJ37">
        <v>0</v>
      </c>
      <c r="AK37">
        <v>0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0</v>
      </c>
      <c r="AR37">
        <v>0</v>
      </c>
      <c r="AS37">
        <v>0</v>
      </c>
      <c r="AT37">
        <v>1</v>
      </c>
      <c r="AU37">
        <v>0</v>
      </c>
      <c r="AV37">
        <v>1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1</v>
      </c>
      <c r="BC37">
        <v>1</v>
      </c>
      <c r="BD37">
        <v>0</v>
      </c>
      <c r="BE37">
        <v>2</v>
      </c>
      <c r="BF37">
        <v>1</v>
      </c>
      <c r="BG37">
        <v>1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1</v>
      </c>
      <c r="BQ37">
        <v>0</v>
      </c>
      <c r="BR37">
        <v>0</v>
      </c>
      <c r="BS37">
        <v>2</v>
      </c>
      <c r="BT37">
        <v>0</v>
      </c>
      <c r="BU37">
        <v>1</v>
      </c>
      <c r="BV37">
        <v>0</v>
      </c>
      <c r="BW37">
        <v>1</v>
      </c>
      <c r="BX37">
        <v>1</v>
      </c>
      <c r="BY37">
        <v>1</v>
      </c>
      <c r="BZ37">
        <v>0</v>
      </c>
      <c r="CA37">
        <v>0</v>
      </c>
      <c r="CB37">
        <v>0</v>
      </c>
      <c r="CC37">
        <v>3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1</v>
      </c>
      <c r="CM37">
        <v>1</v>
      </c>
      <c r="CN37">
        <v>1</v>
      </c>
      <c r="CO37">
        <v>0</v>
      </c>
      <c r="CP37">
        <v>0</v>
      </c>
      <c r="CQ37">
        <v>0</v>
      </c>
      <c r="CR37">
        <v>0</v>
      </c>
      <c r="CS37">
        <v>1</v>
      </c>
      <c r="CT37">
        <v>0</v>
      </c>
      <c r="CU37">
        <v>0</v>
      </c>
      <c r="CV37">
        <v>0</v>
      </c>
    </row>
    <row r="38" spans="1:100" x14ac:dyDescent="0.25">
      <c r="A38">
        <v>0</v>
      </c>
      <c r="B38">
        <v>0</v>
      </c>
      <c r="C38">
        <v>2</v>
      </c>
      <c r="D38">
        <v>0</v>
      </c>
      <c r="E38">
        <v>0</v>
      </c>
      <c r="F38">
        <v>0</v>
      </c>
      <c r="G38">
        <v>0</v>
      </c>
      <c r="H38">
        <v>0</v>
      </c>
      <c r="I38">
        <v>1</v>
      </c>
      <c r="J38">
        <v>1</v>
      </c>
      <c r="K38">
        <v>0</v>
      </c>
      <c r="L38">
        <v>1</v>
      </c>
      <c r="M38">
        <v>0</v>
      </c>
      <c r="N38">
        <v>0</v>
      </c>
      <c r="O38">
        <v>2</v>
      </c>
      <c r="P38">
        <v>0</v>
      </c>
      <c r="Q38">
        <v>1</v>
      </c>
      <c r="R38">
        <v>0</v>
      </c>
      <c r="S38">
        <v>0</v>
      </c>
      <c r="T38">
        <v>1</v>
      </c>
      <c r="U38">
        <v>0</v>
      </c>
      <c r="V38">
        <v>1</v>
      </c>
      <c r="W38">
        <v>0</v>
      </c>
      <c r="X38">
        <v>1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1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1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3</v>
      </c>
      <c r="BI38">
        <v>1</v>
      </c>
      <c r="BJ38">
        <v>0</v>
      </c>
      <c r="BK38">
        <v>1</v>
      </c>
      <c r="BL38">
        <v>1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1</v>
      </c>
      <c r="BS38">
        <v>1</v>
      </c>
      <c r="BT38">
        <v>1</v>
      </c>
      <c r="BU38">
        <v>1</v>
      </c>
      <c r="BV38">
        <v>1</v>
      </c>
      <c r="BW38">
        <v>0</v>
      </c>
      <c r="BX38">
        <v>0</v>
      </c>
      <c r="BY38">
        <v>2</v>
      </c>
      <c r="BZ38">
        <v>0</v>
      </c>
      <c r="CA38">
        <v>2</v>
      </c>
      <c r="CB38">
        <v>1</v>
      </c>
      <c r="CC38">
        <v>1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1</v>
      </c>
      <c r="CJ38">
        <v>0</v>
      </c>
      <c r="CK38">
        <v>1</v>
      </c>
      <c r="CL38">
        <v>1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1</v>
      </c>
      <c r="CV38">
        <v>1</v>
      </c>
    </row>
    <row r="39" spans="1:100" x14ac:dyDescent="0.25">
      <c r="A39">
        <v>0</v>
      </c>
      <c r="B39">
        <v>0</v>
      </c>
      <c r="C39">
        <v>2</v>
      </c>
      <c r="D39">
        <v>0</v>
      </c>
      <c r="E39">
        <v>0</v>
      </c>
      <c r="F39">
        <v>0</v>
      </c>
      <c r="G39">
        <v>1</v>
      </c>
      <c r="H39">
        <v>0</v>
      </c>
      <c r="I39">
        <v>1</v>
      </c>
      <c r="J39">
        <v>0</v>
      </c>
      <c r="K39">
        <v>1</v>
      </c>
      <c r="L39">
        <v>0</v>
      </c>
      <c r="M39">
        <v>4</v>
      </c>
      <c r="N39">
        <v>1</v>
      </c>
      <c r="O39">
        <v>0</v>
      </c>
      <c r="P39">
        <v>0</v>
      </c>
      <c r="Q39">
        <v>0</v>
      </c>
      <c r="R39">
        <v>1</v>
      </c>
      <c r="S39">
        <v>0</v>
      </c>
      <c r="T39">
        <v>0</v>
      </c>
      <c r="U39">
        <v>0</v>
      </c>
      <c r="V39">
        <v>2</v>
      </c>
      <c r="W39">
        <v>0</v>
      </c>
      <c r="X39">
        <v>0</v>
      </c>
      <c r="Y39">
        <v>1</v>
      </c>
      <c r="Z39">
        <v>1</v>
      </c>
      <c r="AA39">
        <v>2</v>
      </c>
      <c r="AB39">
        <v>2</v>
      </c>
      <c r="AC39">
        <v>1</v>
      </c>
      <c r="AD39">
        <v>3</v>
      </c>
      <c r="AE39">
        <v>1</v>
      </c>
      <c r="AF39">
        <v>0</v>
      </c>
      <c r="AG39">
        <v>0</v>
      </c>
      <c r="AH39">
        <v>2</v>
      </c>
      <c r="AI39">
        <v>0</v>
      </c>
      <c r="AJ39">
        <v>2</v>
      </c>
      <c r="AK39">
        <v>0</v>
      </c>
      <c r="AL39">
        <v>1</v>
      </c>
      <c r="AM39">
        <v>0</v>
      </c>
      <c r="AN39">
        <v>0</v>
      </c>
      <c r="AO39">
        <v>0</v>
      </c>
      <c r="AP39">
        <v>1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1</v>
      </c>
      <c r="BA39">
        <v>1</v>
      </c>
      <c r="BB39">
        <v>0</v>
      </c>
      <c r="BC39">
        <v>0</v>
      </c>
      <c r="BD39">
        <v>1</v>
      </c>
      <c r="BE39">
        <v>0</v>
      </c>
      <c r="BF39">
        <v>0</v>
      </c>
      <c r="BG39">
        <v>0</v>
      </c>
      <c r="BH39">
        <v>1</v>
      </c>
      <c r="BI39">
        <v>1</v>
      </c>
      <c r="BJ39">
        <v>1</v>
      </c>
      <c r="BK39">
        <v>0</v>
      </c>
      <c r="BL39">
        <v>0</v>
      </c>
      <c r="BM39">
        <v>0</v>
      </c>
      <c r="BN39">
        <v>0</v>
      </c>
      <c r="BO39">
        <v>1</v>
      </c>
      <c r="BP39">
        <v>0</v>
      </c>
      <c r="BQ39">
        <v>0</v>
      </c>
      <c r="BR39">
        <v>1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1</v>
      </c>
      <c r="BY39">
        <v>0</v>
      </c>
      <c r="BZ39">
        <v>1</v>
      </c>
      <c r="CA39">
        <v>0</v>
      </c>
      <c r="CB39">
        <v>0</v>
      </c>
      <c r="CC39">
        <v>2</v>
      </c>
      <c r="CD39">
        <v>0</v>
      </c>
      <c r="CE39">
        <v>1</v>
      </c>
      <c r="CF39">
        <v>0</v>
      </c>
      <c r="CG39">
        <v>1</v>
      </c>
      <c r="CH39">
        <v>0</v>
      </c>
      <c r="CI39">
        <v>5</v>
      </c>
      <c r="CJ39">
        <v>0</v>
      </c>
      <c r="CK39">
        <v>0</v>
      </c>
      <c r="CL39">
        <v>1</v>
      </c>
      <c r="CM39">
        <v>0</v>
      </c>
      <c r="CN39">
        <v>0</v>
      </c>
      <c r="CO39">
        <v>0</v>
      </c>
      <c r="CP39">
        <v>0</v>
      </c>
      <c r="CQ39">
        <v>1</v>
      </c>
      <c r="CR39">
        <v>0</v>
      </c>
      <c r="CS39">
        <v>0</v>
      </c>
      <c r="CT39">
        <v>2</v>
      </c>
      <c r="CU39">
        <v>0</v>
      </c>
      <c r="CV39">
        <v>0</v>
      </c>
    </row>
    <row r="40" spans="1:100" x14ac:dyDescent="0.25">
      <c r="A40">
        <v>0</v>
      </c>
      <c r="B40">
        <v>0</v>
      </c>
      <c r="C40">
        <v>0</v>
      </c>
      <c r="D40">
        <v>0</v>
      </c>
      <c r="E40">
        <v>0</v>
      </c>
      <c r="F40">
        <v>0</v>
      </c>
      <c r="G40">
        <v>4</v>
      </c>
      <c r="H40">
        <v>0</v>
      </c>
      <c r="I40">
        <v>2</v>
      </c>
      <c r="J40">
        <v>1</v>
      </c>
      <c r="K40">
        <v>0</v>
      </c>
      <c r="L40">
        <v>1</v>
      </c>
      <c r="M40">
        <v>0</v>
      </c>
      <c r="N40">
        <v>0</v>
      </c>
      <c r="O40">
        <v>0</v>
      </c>
      <c r="P40">
        <v>0</v>
      </c>
      <c r="Q40">
        <v>1</v>
      </c>
      <c r="R40">
        <v>2</v>
      </c>
      <c r="S40">
        <v>0</v>
      </c>
      <c r="T40">
        <v>0</v>
      </c>
      <c r="U40">
        <v>1</v>
      </c>
      <c r="V40">
        <v>0</v>
      </c>
      <c r="W40">
        <v>0</v>
      </c>
      <c r="X40">
        <v>0</v>
      </c>
      <c r="Y40">
        <v>0</v>
      </c>
      <c r="Z40">
        <v>0</v>
      </c>
      <c r="AA40">
        <v>2</v>
      </c>
      <c r="AB40">
        <v>0</v>
      </c>
      <c r="AC40">
        <v>2</v>
      </c>
      <c r="AD40">
        <v>0</v>
      </c>
      <c r="AE40">
        <v>0</v>
      </c>
      <c r="AF40">
        <v>1</v>
      </c>
      <c r="AG40">
        <v>0</v>
      </c>
      <c r="AH40">
        <v>1</v>
      </c>
      <c r="AI40">
        <v>0</v>
      </c>
      <c r="AJ40">
        <v>3</v>
      </c>
      <c r="AK40">
        <v>0</v>
      </c>
      <c r="AL40">
        <v>0</v>
      </c>
      <c r="AM40">
        <v>1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2</v>
      </c>
      <c r="AT40">
        <v>0</v>
      </c>
      <c r="AU40">
        <v>1</v>
      </c>
      <c r="AV40">
        <v>1</v>
      </c>
      <c r="AW40">
        <v>0</v>
      </c>
      <c r="AX40">
        <v>0</v>
      </c>
      <c r="AY40">
        <v>1</v>
      </c>
      <c r="AZ40">
        <v>0</v>
      </c>
      <c r="BA40">
        <v>0</v>
      </c>
      <c r="BB40">
        <v>1</v>
      </c>
      <c r="BC40">
        <v>0</v>
      </c>
      <c r="BD40">
        <v>1</v>
      </c>
      <c r="BE40">
        <v>0</v>
      </c>
      <c r="BF40">
        <v>0</v>
      </c>
      <c r="BG40">
        <v>0</v>
      </c>
      <c r="BH40">
        <v>0</v>
      </c>
      <c r="BI40">
        <v>1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1</v>
      </c>
      <c r="BR40">
        <v>0</v>
      </c>
      <c r="BS40">
        <v>1</v>
      </c>
      <c r="BT40">
        <v>0</v>
      </c>
      <c r="BU40">
        <v>1</v>
      </c>
      <c r="BV40">
        <v>0</v>
      </c>
      <c r="BW40">
        <v>0</v>
      </c>
      <c r="BX40">
        <v>1</v>
      </c>
      <c r="BY40">
        <v>0</v>
      </c>
      <c r="BZ40">
        <v>0</v>
      </c>
      <c r="CA40">
        <v>0</v>
      </c>
      <c r="CB40">
        <v>1</v>
      </c>
      <c r="CC40">
        <v>3</v>
      </c>
      <c r="CD40">
        <v>0</v>
      </c>
      <c r="CE40">
        <v>2</v>
      </c>
      <c r="CF40">
        <v>0</v>
      </c>
      <c r="CG40">
        <v>1</v>
      </c>
      <c r="CH40">
        <v>1</v>
      </c>
      <c r="CI40">
        <v>1</v>
      </c>
      <c r="CJ40">
        <v>1</v>
      </c>
      <c r="CK40">
        <v>0</v>
      </c>
      <c r="CL40">
        <v>0</v>
      </c>
      <c r="CM40">
        <v>1</v>
      </c>
      <c r="CN40">
        <v>1</v>
      </c>
      <c r="CO40">
        <v>1</v>
      </c>
      <c r="CP40">
        <v>3</v>
      </c>
      <c r="CQ40">
        <v>0</v>
      </c>
      <c r="CR40">
        <v>0</v>
      </c>
      <c r="CS40">
        <v>2</v>
      </c>
      <c r="CT40">
        <v>0</v>
      </c>
      <c r="CU40">
        <v>0</v>
      </c>
      <c r="CV40">
        <v>2</v>
      </c>
    </row>
    <row r="41" spans="1:100" x14ac:dyDescent="0.25">
      <c r="A41">
        <v>1</v>
      </c>
      <c r="B41">
        <v>0</v>
      </c>
      <c r="C41">
        <v>0</v>
      </c>
      <c r="D41">
        <v>2</v>
      </c>
      <c r="E41">
        <v>1</v>
      </c>
      <c r="F41">
        <v>3</v>
      </c>
      <c r="G41">
        <v>1</v>
      </c>
      <c r="H41">
        <v>0</v>
      </c>
      <c r="I41">
        <v>0</v>
      </c>
      <c r="J41">
        <v>0</v>
      </c>
      <c r="K41">
        <v>0</v>
      </c>
      <c r="L41">
        <v>1</v>
      </c>
      <c r="M41">
        <v>0</v>
      </c>
      <c r="N41">
        <v>1</v>
      </c>
      <c r="O41">
        <v>0</v>
      </c>
      <c r="P41">
        <v>1</v>
      </c>
      <c r="Q41">
        <v>1</v>
      </c>
      <c r="R41">
        <v>1</v>
      </c>
      <c r="S41">
        <v>1</v>
      </c>
      <c r="T41">
        <v>2</v>
      </c>
      <c r="U41">
        <v>1</v>
      </c>
      <c r="V41">
        <v>0</v>
      </c>
      <c r="W41">
        <v>1</v>
      </c>
      <c r="X41">
        <v>1</v>
      </c>
      <c r="Y41">
        <v>0</v>
      </c>
      <c r="Z41">
        <v>0</v>
      </c>
      <c r="AA41">
        <v>0</v>
      </c>
      <c r="AB41">
        <v>1</v>
      </c>
      <c r="AC41">
        <v>1</v>
      </c>
      <c r="AD41">
        <v>2</v>
      </c>
      <c r="AE41">
        <v>1</v>
      </c>
      <c r="AF41">
        <v>0</v>
      </c>
      <c r="AG41">
        <v>0</v>
      </c>
      <c r="AH41">
        <v>1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1</v>
      </c>
      <c r="AO41">
        <v>2</v>
      </c>
      <c r="AP41">
        <v>0</v>
      </c>
      <c r="AQ41">
        <v>0</v>
      </c>
      <c r="AR41">
        <v>0</v>
      </c>
      <c r="AS41">
        <v>1</v>
      </c>
      <c r="AT41">
        <v>2</v>
      </c>
      <c r="AU41">
        <v>2</v>
      </c>
      <c r="AV41">
        <v>0</v>
      </c>
      <c r="AW41">
        <v>0</v>
      </c>
      <c r="AX41">
        <v>1</v>
      </c>
      <c r="AY41">
        <v>1</v>
      </c>
      <c r="AZ41">
        <v>0</v>
      </c>
      <c r="BA41">
        <v>0</v>
      </c>
      <c r="BB41">
        <v>2</v>
      </c>
      <c r="BC41">
        <v>0</v>
      </c>
      <c r="BD41">
        <v>1</v>
      </c>
      <c r="BE41">
        <v>0</v>
      </c>
      <c r="BF41">
        <v>0</v>
      </c>
      <c r="BG41">
        <v>2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1</v>
      </c>
      <c r="BU41">
        <v>2</v>
      </c>
      <c r="BV41">
        <v>0</v>
      </c>
      <c r="BW41">
        <v>1</v>
      </c>
      <c r="BX41">
        <v>0</v>
      </c>
      <c r="BY41">
        <v>2</v>
      </c>
      <c r="BZ41">
        <v>2</v>
      </c>
      <c r="CA41">
        <v>0</v>
      </c>
      <c r="CB41">
        <v>0</v>
      </c>
      <c r="CC41">
        <v>0</v>
      </c>
      <c r="CD41">
        <v>0</v>
      </c>
      <c r="CE41">
        <v>1</v>
      </c>
      <c r="CF41">
        <v>0</v>
      </c>
      <c r="CG41">
        <v>3</v>
      </c>
      <c r="CH41">
        <v>0</v>
      </c>
      <c r="CI41">
        <v>0</v>
      </c>
      <c r="CJ41">
        <v>0</v>
      </c>
      <c r="CK41">
        <v>1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2</v>
      </c>
      <c r="CU41">
        <v>1</v>
      </c>
      <c r="CV41">
        <v>0</v>
      </c>
    </row>
    <row r="42" spans="1:100" x14ac:dyDescent="0.25">
      <c r="A42">
        <v>0</v>
      </c>
      <c r="B42">
        <v>0</v>
      </c>
      <c r="C42">
        <v>0</v>
      </c>
      <c r="D42">
        <v>1</v>
      </c>
      <c r="E42">
        <v>0</v>
      </c>
      <c r="F42">
        <v>0</v>
      </c>
      <c r="G42">
        <v>1</v>
      </c>
      <c r="H42">
        <v>0</v>
      </c>
      <c r="I42">
        <v>0</v>
      </c>
      <c r="J42">
        <v>0</v>
      </c>
      <c r="K42">
        <v>1</v>
      </c>
      <c r="L42">
        <v>0</v>
      </c>
      <c r="M42">
        <v>1</v>
      </c>
      <c r="N42">
        <v>1</v>
      </c>
      <c r="O42">
        <v>2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1</v>
      </c>
      <c r="Y42">
        <v>0</v>
      </c>
      <c r="Z42">
        <v>0</v>
      </c>
      <c r="AA42">
        <v>0</v>
      </c>
      <c r="AB42">
        <v>0</v>
      </c>
      <c r="AC42">
        <v>1</v>
      </c>
      <c r="AD42">
        <v>0</v>
      </c>
      <c r="AE42">
        <v>1</v>
      </c>
      <c r="AF42">
        <v>1</v>
      </c>
      <c r="AG42">
        <v>1</v>
      </c>
      <c r="AH42">
        <v>0</v>
      </c>
      <c r="AI42">
        <v>0</v>
      </c>
      <c r="AJ42">
        <v>1</v>
      </c>
      <c r="AK42">
        <v>0</v>
      </c>
      <c r="AL42">
        <v>0</v>
      </c>
      <c r="AM42">
        <v>1</v>
      </c>
      <c r="AN42">
        <v>1</v>
      </c>
      <c r="AO42">
        <v>1</v>
      </c>
      <c r="AP42">
        <v>0</v>
      </c>
      <c r="AQ42">
        <v>0</v>
      </c>
      <c r="AR42">
        <v>1</v>
      </c>
      <c r="AS42">
        <v>0</v>
      </c>
      <c r="AT42">
        <v>2</v>
      </c>
      <c r="AU42">
        <v>0</v>
      </c>
      <c r="AV42">
        <v>1</v>
      </c>
      <c r="AW42">
        <v>1</v>
      </c>
      <c r="AX42">
        <v>0</v>
      </c>
      <c r="AY42">
        <v>1</v>
      </c>
      <c r="AZ42">
        <v>0</v>
      </c>
      <c r="BA42">
        <v>0</v>
      </c>
      <c r="BB42">
        <v>0</v>
      </c>
      <c r="BC42">
        <v>1</v>
      </c>
      <c r="BD42">
        <v>0</v>
      </c>
      <c r="BE42">
        <v>0</v>
      </c>
      <c r="BF42">
        <v>2</v>
      </c>
      <c r="BG42">
        <v>0</v>
      </c>
      <c r="BH42">
        <v>1</v>
      </c>
      <c r="BI42">
        <v>3</v>
      </c>
      <c r="BJ42">
        <v>0</v>
      </c>
      <c r="BK42">
        <v>1</v>
      </c>
      <c r="BL42">
        <v>1</v>
      </c>
      <c r="BM42">
        <v>1</v>
      </c>
      <c r="BN42">
        <v>1</v>
      </c>
      <c r="BO42">
        <v>0</v>
      </c>
      <c r="BP42">
        <v>0</v>
      </c>
      <c r="BQ42">
        <v>0</v>
      </c>
      <c r="BR42">
        <v>1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1</v>
      </c>
      <c r="BY42">
        <v>0</v>
      </c>
      <c r="BZ42">
        <v>0</v>
      </c>
      <c r="CA42">
        <v>0</v>
      </c>
      <c r="CB42">
        <v>2</v>
      </c>
      <c r="CC42">
        <v>0</v>
      </c>
      <c r="CD42">
        <v>1</v>
      </c>
      <c r="CE42">
        <v>0</v>
      </c>
      <c r="CF42">
        <v>3</v>
      </c>
      <c r="CG42">
        <v>1</v>
      </c>
      <c r="CH42">
        <v>1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1</v>
      </c>
      <c r="CO42">
        <v>1</v>
      </c>
      <c r="CP42">
        <v>0</v>
      </c>
      <c r="CQ42">
        <v>0</v>
      </c>
      <c r="CR42">
        <v>0</v>
      </c>
      <c r="CS42">
        <v>1</v>
      </c>
      <c r="CT42">
        <v>0</v>
      </c>
      <c r="CU42">
        <v>0</v>
      </c>
      <c r="CV42">
        <v>0</v>
      </c>
    </row>
    <row r="43" spans="1:100" x14ac:dyDescent="0.25">
      <c r="A43">
        <v>1</v>
      </c>
      <c r="B43">
        <v>0</v>
      </c>
      <c r="C43">
        <v>0</v>
      </c>
      <c r="D43">
        <v>1</v>
      </c>
      <c r="E43">
        <v>0</v>
      </c>
      <c r="F43">
        <v>0</v>
      </c>
      <c r="G43">
        <v>0</v>
      </c>
      <c r="H43">
        <v>2</v>
      </c>
      <c r="I43">
        <v>1</v>
      </c>
      <c r="J43">
        <v>2</v>
      </c>
      <c r="K43">
        <v>0</v>
      </c>
      <c r="L43">
        <v>1</v>
      </c>
      <c r="M43">
        <v>0</v>
      </c>
      <c r="N43">
        <v>2</v>
      </c>
      <c r="O43">
        <v>0</v>
      </c>
      <c r="P43">
        <v>0</v>
      </c>
      <c r="Q43">
        <v>0</v>
      </c>
      <c r="R43">
        <v>3</v>
      </c>
      <c r="S43">
        <v>0</v>
      </c>
      <c r="T43">
        <v>0</v>
      </c>
      <c r="U43">
        <v>0</v>
      </c>
      <c r="V43">
        <v>1</v>
      </c>
      <c r="W43">
        <v>1</v>
      </c>
      <c r="X43">
        <v>1</v>
      </c>
      <c r="Y43">
        <v>1</v>
      </c>
      <c r="Z43">
        <v>4</v>
      </c>
      <c r="AA43">
        <v>0</v>
      </c>
      <c r="AB43">
        <v>1</v>
      </c>
      <c r="AC43">
        <v>0</v>
      </c>
      <c r="AD43">
        <v>0</v>
      </c>
      <c r="AE43">
        <v>0</v>
      </c>
      <c r="AF43">
        <v>1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2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1</v>
      </c>
      <c r="AY43">
        <v>0</v>
      </c>
      <c r="AZ43">
        <v>0</v>
      </c>
      <c r="BA43">
        <v>0</v>
      </c>
      <c r="BB43">
        <v>2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2</v>
      </c>
      <c r="BI43">
        <v>1</v>
      </c>
      <c r="BJ43">
        <v>1</v>
      </c>
      <c r="BK43">
        <v>0</v>
      </c>
      <c r="BL43">
        <v>0</v>
      </c>
      <c r="BM43">
        <v>1</v>
      </c>
      <c r="BN43">
        <v>0</v>
      </c>
      <c r="BO43">
        <v>0</v>
      </c>
      <c r="BP43">
        <v>0</v>
      </c>
      <c r="BQ43">
        <v>1</v>
      </c>
      <c r="BR43">
        <v>0</v>
      </c>
      <c r="BS43">
        <v>0</v>
      </c>
      <c r="BT43">
        <v>1</v>
      </c>
      <c r="BU43">
        <v>0</v>
      </c>
      <c r="BV43">
        <v>1</v>
      </c>
      <c r="BW43">
        <v>0</v>
      </c>
      <c r="BX43">
        <v>1</v>
      </c>
      <c r="BY43">
        <v>1</v>
      </c>
      <c r="BZ43">
        <v>2</v>
      </c>
      <c r="CA43">
        <v>1</v>
      </c>
      <c r="CB43">
        <v>1</v>
      </c>
      <c r="CC43">
        <v>0</v>
      </c>
      <c r="CD43">
        <v>1</v>
      </c>
      <c r="CE43">
        <v>0</v>
      </c>
      <c r="CF43">
        <v>0</v>
      </c>
      <c r="CG43">
        <v>0</v>
      </c>
      <c r="CH43">
        <v>0</v>
      </c>
      <c r="CI43">
        <v>1</v>
      </c>
      <c r="CJ43">
        <v>2</v>
      </c>
      <c r="CK43">
        <v>1</v>
      </c>
      <c r="CL43">
        <v>0</v>
      </c>
      <c r="CM43">
        <v>0</v>
      </c>
      <c r="CN43">
        <v>0</v>
      </c>
      <c r="CO43">
        <v>2</v>
      </c>
      <c r="CP43">
        <v>1</v>
      </c>
      <c r="CQ43">
        <v>1</v>
      </c>
      <c r="CR43">
        <v>0</v>
      </c>
      <c r="CS43">
        <v>0</v>
      </c>
      <c r="CT43">
        <v>1</v>
      </c>
      <c r="CU43">
        <v>2</v>
      </c>
      <c r="CV43">
        <v>1</v>
      </c>
    </row>
    <row r="44" spans="1:100" x14ac:dyDescent="0.25">
      <c r="A44">
        <v>1</v>
      </c>
      <c r="B44">
        <v>0</v>
      </c>
      <c r="C44">
        <v>0</v>
      </c>
      <c r="D44">
        <v>1</v>
      </c>
      <c r="E44">
        <v>0</v>
      </c>
      <c r="F44">
        <v>0</v>
      </c>
      <c r="G44">
        <v>0</v>
      </c>
      <c r="H44">
        <v>0</v>
      </c>
      <c r="I44">
        <v>1</v>
      </c>
      <c r="J44">
        <v>1</v>
      </c>
      <c r="K44">
        <v>2</v>
      </c>
      <c r="L44">
        <v>0</v>
      </c>
      <c r="M44">
        <v>0</v>
      </c>
      <c r="N44">
        <v>0</v>
      </c>
      <c r="O44">
        <v>1</v>
      </c>
      <c r="P44">
        <v>0</v>
      </c>
      <c r="Q44">
        <v>0</v>
      </c>
      <c r="R44">
        <v>2</v>
      </c>
      <c r="S44">
        <v>1</v>
      </c>
      <c r="T44">
        <v>0</v>
      </c>
      <c r="U44">
        <v>0</v>
      </c>
      <c r="V44">
        <v>0</v>
      </c>
      <c r="W44">
        <v>1</v>
      </c>
      <c r="X44">
        <v>1</v>
      </c>
      <c r="Y44">
        <v>1</v>
      </c>
      <c r="Z44">
        <v>0</v>
      </c>
      <c r="AA44">
        <v>1</v>
      </c>
      <c r="AB44">
        <v>0</v>
      </c>
      <c r="AC44">
        <v>0</v>
      </c>
      <c r="AD44">
        <v>0</v>
      </c>
      <c r="AE44">
        <v>1</v>
      </c>
      <c r="AF44">
        <v>0</v>
      </c>
      <c r="AG44">
        <v>1</v>
      </c>
      <c r="AH44">
        <v>1</v>
      </c>
      <c r="AI44">
        <v>0</v>
      </c>
      <c r="AJ44">
        <v>2</v>
      </c>
      <c r="AK44">
        <v>2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2</v>
      </c>
      <c r="AR44">
        <v>0</v>
      </c>
      <c r="AS44">
        <v>2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1</v>
      </c>
      <c r="BB44">
        <v>1</v>
      </c>
      <c r="BC44">
        <v>2</v>
      </c>
      <c r="BD44">
        <v>0</v>
      </c>
      <c r="BE44">
        <v>0</v>
      </c>
      <c r="BF44">
        <v>0</v>
      </c>
      <c r="BG44">
        <v>0</v>
      </c>
      <c r="BH44">
        <v>2</v>
      </c>
      <c r="BI44">
        <v>0</v>
      </c>
      <c r="BJ44">
        <v>1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1</v>
      </c>
      <c r="BY44">
        <v>0</v>
      </c>
      <c r="BZ44">
        <v>0</v>
      </c>
      <c r="CA44">
        <v>0</v>
      </c>
      <c r="CB44">
        <v>1</v>
      </c>
      <c r="CC44">
        <v>0</v>
      </c>
      <c r="CD44">
        <v>0</v>
      </c>
      <c r="CE44">
        <v>0</v>
      </c>
      <c r="CF44">
        <v>0</v>
      </c>
      <c r="CG44">
        <v>1</v>
      </c>
      <c r="CH44">
        <v>1</v>
      </c>
      <c r="CI44">
        <v>0</v>
      </c>
      <c r="CJ44">
        <v>1</v>
      </c>
      <c r="CK44">
        <v>1</v>
      </c>
      <c r="CL44">
        <v>0</v>
      </c>
      <c r="CM44">
        <v>0</v>
      </c>
      <c r="CN44">
        <v>1</v>
      </c>
      <c r="CO44">
        <v>0</v>
      </c>
      <c r="CP44">
        <v>2</v>
      </c>
      <c r="CQ44">
        <v>1</v>
      </c>
      <c r="CR44">
        <v>0</v>
      </c>
      <c r="CS44">
        <v>0</v>
      </c>
      <c r="CT44">
        <v>0</v>
      </c>
      <c r="CU44">
        <v>0</v>
      </c>
      <c r="CV44">
        <v>1</v>
      </c>
    </row>
    <row r="45" spans="1:100" x14ac:dyDescent="0.25">
      <c r="A45">
        <v>0</v>
      </c>
      <c r="B45">
        <v>0</v>
      </c>
      <c r="C45">
        <v>2</v>
      </c>
      <c r="D45">
        <v>1</v>
      </c>
      <c r="E45">
        <v>1</v>
      </c>
      <c r="F45">
        <v>0</v>
      </c>
      <c r="G45">
        <v>0</v>
      </c>
      <c r="H45">
        <v>0</v>
      </c>
      <c r="I45">
        <v>0</v>
      </c>
      <c r="J45">
        <v>0</v>
      </c>
      <c r="K45">
        <v>2</v>
      </c>
      <c r="L45">
        <v>1</v>
      </c>
      <c r="M45">
        <v>0</v>
      </c>
      <c r="N45">
        <v>0</v>
      </c>
      <c r="O45">
        <v>0</v>
      </c>
      <c r="P45">
        <v>1</v>
      </c>
      <c r="Q45">
        <v>1</v>
      </c>
      <c r="R45">
        <v>0</v>
      </c>
      <c r="S45">
        <v>1</v>
      </c>
      <c r="T45">
        <v>1</v>
      </c>
      <c r="U45">
        <v>0</v>
      </c>
      <c r="V45">
        <v>0</v>
      </c>
      <c r="W45">
        <v>0</v>
      </c>
      <c r="X45">
        <v>0</v>
      </c>
      <c r="Y45">
        <v>2</v>
      </c>
      <c r="Z45">
        <v>1</v>
      </c>
      <c r="AA45">
        <v>1</v>
      </c>
      <c r="AB45">
        <v>0</v>
      </c>
      <c r="AC45">
        <v>1</v>
      </c>
      <c r="AD45">
        <v>0</v>
      </c>
      <c r="AE45">
        <v>0</v>
      </c>
      <c r="AF45">
        <v>0</v>
      </c>
      <c r="AG45">
        <v>1</v>
      </c>
      <c r="AH45">
        <v>1</v>
      </c>
      <c r="AI45">
        <v>0</v>
      </c>
      <c r="AJ45">
        <v>1</v>
      </c>
      <c r="AK45">
        <v>0</v>
      </c>
      <c r="AL45">
        <v>1</v>
      </c>
      <c r="AM45">
        <v>1</v>
      </c>
      <c r="AN45">
        <v>0</v>
      </c>
      <c r="AO45">
        <v>1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2</v>
      </c>
      <c r="AV45">
        <v>0</v>
      </c>
      <c r="AW45">
        <v>0</v>
      </c>
      <c r="AX45">
        <v>1</v>
      </c>
      <c r="AY45">
        <v>0</v>
      </c>
      <c r="AZ45">
        <v>0</v>
      </c>
      <c r="BA45">
        <v>0</v>
      </c>
      <c r="BB45">
        <v>1</v>
      </c>
      <c r="BC45">
        <v>0</v>
      </c>
      <c r="BD45">
        <v>0</v>
      </c>
      <c r="BE45">
        <v>2</v>
      </c>
      <c r="BF45">
        <v>0</v>
      </c>
      <c r="BG45">
        <v>0</v>
      </c>
      <c r="BH45">
        <v>0</v>
      </c>
      <c r="BI45">
        <v>1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1</v>
      </c>
      <c r="BS45">
        <v>0</v>
      </c>
      <c r="BT45">
        <v>1</v>
      </c>
      <c r="BU45">
        <v>0</v>
      </c>
      <c r="BV45">
        <v>0</v>
      </c>
      <c r="BW45">
        <v>0</v>
      </c>
      <c r="BX45">
        <v>0</v>
      </c>
      <c r="BY45">
        <v>1</v>
      </c>
      <c r="BZ45">
        <v>1</v>
      </c>
      <c r="CA45">
        <v>0</v>
      </c>
      <c r="CB45">
        <v>0</v>
      </c>
      <c r="CC45">
        <v>1</v>
      </c>
      <c r="CD45">
        <v>0</v>
      </c>
      <c r="CE45">
        <v>2</v>
      </c>
      <c r="CF45">
        <v>1</v>
      </c>
      <c r="CG45">
        <v>1</v>
      </c>
      <c r="CH45">
        <v>1</v>
      </c>
      <c r="CI45">
        <v>1</v>
      </c>
      <c r="CJ45">
        <v>1</v>
      </c>
      <c r="CK45">
        <v>0</v>
      </c>
      <c r="CL45">
        <v>2</v>
      </c>
      <c r="CM45">
        <v>0</v>
      </c>
      <c r="CN45">
        <v>1</v>
      </c>
      <c r="CO45">
        <v>0</v>
      </c>
      <c r="CP45">
        <v>0</v>
      </c>
      <c r="CQ45">
        <v>1</v>
      </c>
      <c r="CR45">
        <v>1</v>
      </c>
      <c r="CS45">
        <v>0</v>
      </c>
      <c r="CT45">
        <v>1</v>
      </c>
      <c r="CU45">
        <v>0</v>
      </c>
      <c r="CV45">
        <v>0</v>
      </c>
    </row>
    <row r="46" spans="1:100" x14ac:dyDescent="0.25">
      <c r="A46">
        <v>0</v>
      </c>
      <c r="B46">
        <v>0</v>
      </c>
      <c r="C46">
        <v>0</v>
      </c>
      <c r="D46">
        <v>2</v>
      </c>
      <c r="E46">
        <v>0</v>
      </c>
      <c r="F46">
        <v>0</v>
      </c>
      <c r="G46">
        <v>1</v>
      </c>
      <c r="H46">
        <v>0</v>
      </c>
      <c r="I46">
        <v>0</v>
      </c>
      <c r="J46">
        <v>1</v>
      </c>
      <c r="K46">
        <v>2</v>
      </c>
      <c r="L46">
        <v>0</v>
      </c>
      <c r="M46">
        <v>0</v>
      </c>
      <c r="N46">
        <v>0</v>
      </c>
      <c r="O46">
        <v>0</v>
      </c>
      <c r="P46">
        <v>0</v>
      </c>
      <c r="Q46">
        <v>1</v>
      </c>
      <c r="R46">
        <v>0</v>
      </c>
      <c r="S46">
        <v>0</v>
      </c>
      <c r="T46">
        <v>0</v>
      </c>
      <c r="U46">
        <v>2</v>
      </c>
      <c r="V46">
        <v>0</v>
      </c>
      <c r="W46">
        <v>1</v>
      </c>
      <c r="X46">
        <v>0</v>
      </c>
      <c r="Y46">
        <v>1</v>
      </c>
      <c r="Z46">
        <v>0</v>
      </c>
      <c r="AA46">
        <v>1</v>
      </c>
      <c r="AB46">
        <v>1</v>
      </c>
      <c r="AC46">
        <v>0</v>
      </c>
      <c r="AD46">
        <v>0</v>
      </c>
      <c r="AE46">
        <v>1</v>
      </c>
      <c r="AF46">
        <v>0</v>
      </c>
      <c r="AG46">
        <v>1</v>
      </c>
      <c r="AH46">
        <v>0</v>
      </c>
      <c r="AI46">
        <v>0</v>
      </c>
      <c r="AJ46">
        <v>0</v>
      </c>
      <c r="AK46">
        <v>0</v>
      </c>
      <c r="AL46">
        <v>1</v>
      </c>
      <c r="AM46">
        <v>0</v>
      </c>
      <c r="AN46">
        <v>0</v>
      </c>
      <c r="AO46">
        <v>1</v>
      </c>
      <c r="AP46">
        <v>0</v>
      </c>
      <c r="AQ46">
        <v>0</v>
      </c>
      <c r="AR46">
        <v>0</v>
      </c>
      <c r="AS46">
        <v>0</v>
      </c>
      <c r="AT46">
        <v>2</v>
      </c>
      <c r="AU46">
        <v>0</v>
      </c>
      <c r="AV46">
        <v>1</v>
      </c>
      <c r="AW46">
        <v>0</v>
      </c>
      <c r="AX46">
        <v>0</v>
      </c>
      <c r="AY46">
        <v>2</v>
      </c>
      <c r="AZ46">
        <v>0</v>
      </c>
      <c r="BA46">
        <v>1</v>
      </c>
      <c r="BB46">
        <v>0</v>
      </c>
      <c r="BC46">
        <v>1</v>
      </c>
      <c r="BD46">
        <v>1</v>
      </c>
      <c r="BE46">
        <v>1</v>
      </c>
      <c r="BF46">
        <v>1</v>
      </c>
      <c r="BG46">
        <v>1</v>
      </c>
      <c r="BH46">
        <v>1</v>
      </c>
      <c r="BI46">
        <v>0</v>
      </c>
      <c r="BJ46">
        <v>4</v>
      </c>
      <c r="BK46">
        <v>0</v>
      </c>
      <c r="BL46">
        <v>1</v>
      </c>
      <c r="BM46">
        <v>2</v>
      </c>
      <c r="BN46">
        <v>0</v>
      </c>
      <c r="BO46">
        <v>0</v>
      </c>
      <c r="BP46">
        <v>1</v>
      </c>
      <c r="BQ46">
        <v>1</v>
      </c>
      <c r="BR46">
        <v>1</v>
      </c>
      <c r="BS46">
        <v>0</v>
      </c>
      <c r="BT46">
        <v>0</v>
      </c>
      <c r="BU46">
        <v>1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2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2</v>
      </c>
      <c r="CI46">
        <v>0</v>
      </c>
      <c r="CJ46">
        <v>0</v>
      </c>
      <c r="CK46">
        <v>1</v>
      </c>
      <c r="CL46">
        <v>0</v>
      </c>
      <c r="CM46">
        <v>0</v>
      </c>
      <c r="CN46">
        <v>1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2</v>
      </c>
      <c r="CV46">
        <v>0</v>
      </c>
    </row>
    <row r="47" spans="1:100" x14ac:dyDescent="0.25">
      <c r="A47">
        <v>0</v>
      </c>
      <c r="B47">
        <v>0</v>
      </c>
      <c r="C47">
        <v>1</v>
      </c>
      <c r="D47">
        <v>1</v>
      </c>
      <c r="E47">
        <v>0</v>
      </c>
      <c r="F47">
        <v>0</v>
      </c>
      <c r="G47">
        <v>3</v>
      </c>
      <c r="H47">
        <v>0</v>
      </c>
      <c r="I47">
        <v>0</v>
      </c>
      <c r="J47">
        <v>0</v>
      </c>
      <c r="K47">
        <v>0</v>
      </c>
      <c r="L47">
        <v>1</v>
      </c>
      <c r="M47">
        <v>0</v>
      </c>
      <c r="N47">
        <v>0</v>
      </c>
      <c r="O47">
        <v>1</v>
      </c>
      <c r="P47">
        <v>0</v>
      </c>
      <c r="Q47">
        <v>2</v>
      </c>
      <c r="R47">
        <v>0</v>
      </c>
      <c r="S47">
        <v>1</v>
      </c>
      <c r="T47">
        <v>0</v>
      </c>
      <c r="U47">
        <v>0</v>
      </c>
      <c r="V47">
        <v>1</v>
      </c>
      <c r="W47">
        <v>1</v>
      </c>
      <c r="X47">
        <v>1</v>
      </c>
      <c r="Y47">
        <v>0</v>
      </c>
      <c r="Z47">
        <v>0</v>
      </c>
      <c r="AA47">
        <v>3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1</v>
      </c>
      <c r="AS47">
        <v>0</v>
      </c>
      <c r="AT47">
        <v>0</v>
      </c>
      <c r="AU47">
        <v>1</v>
      </c>
      <c r="AV47">
        <v>0</v>
      </c>
      <c r="AW47">
        <v>1</v>
      </c>
      <c r="AX47">
        <v>1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1</v>
      </c>
      <c r="BE47">
        <v>0</v>
      </c>
      <c r="BF47">
        <v>2</v>
      </c>
      <c r="BG47">
        <v>0</v>
      </c>
      <c r="BH47">
        <v>3</v>
      </c>
      <c r="BI47">
        <v>0</v>
      </c>
      <c r="BJ47">
        <v>0</v>
      </c>
      <c r="BK47">
        <v>0</v>
      </c>
      <c r="BL47">
        <v>1</v>
      </c>
      <c r="BM47">
        <v>0</v>
      </c>
      <c r="BN47">
        <v>1</v>
      </c>
      <c r="BO47">
        <v>0</v>
      </c>
      <c r="BP47">
        <v>0</v>
      </c>
      <c r="BQ47">
        <v>1</v>
      </c>
      <c r="BR47">
        <v>0</v>
      </c>
      <c r="BS47">
        <v>1</v>
      </c>
      <c r="BT47">
        <v>1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2</v>
      </c>
      <c r="CD47">
        <v>0</v>
      </c>
      <c r="CE47">
        <v>0</v>
      </c>
      <c r="CF47">
        <v>3</v>
      </c>
      <c r="CG47">
        <v>1</v>
      </c>
      <c r="CH47">
        <v>0</v>
      </c>
      <c r="CI47">
        <v>0</v>
      </c>
      <c r="CJ47">
        <v>0</v>
      </c>
      <c r="CK47">
        <v>1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1</v>
      </c>
      <c r="CR47">
        <v>0</v>
      </c>
      <c r="CS47">
        <v>1</v>
      </c>
      <c r="CT47">
        <v>2</v>
      </c>
      <c r="CU47">
        <v>1</v>
      </c>
      <c r="CV47">
        <v>0</v>
      </c>
    </row>
    <row r="48" spans="1:100" x14ac:dyDescent="0.25">
      <c r="A48">
        <v>0</v>
      </c>
      <c r="B48">
        <v>0</v>
      </c>
      <c r="C48">
        <v>0</v>
      </c>
      <c r="D48">
        <v>0</v>
      </c>
      <c r="E48">
        <v>0</v>
      </c>
      <c r="F48">
        <v>0</v>
      </c>
      <c r="G48">
        <v>2</v>
      </c>
      <c r="H48">
        <v>2</v>
      </c>
      <c r="I48">
        <v>1</v>
      </c>
      <c r="J48">
        <v>0</v>
      </c>
      <c r="K48">
        <v>0</v>
      </c>
      <c r="L48">
        <v>1</v>
      </c>
      <c r="M48">
        <v>1</v>
      </c>
      <c r="N48">
        <v>0</v>
      </c>
      <c r="O48">
        <v>1</v>
      </c>
      <c r="P48">
        <v>0</v>
      </c>
      <c r="Q48">
        <v>0</v>
      </c>
      <c r="R48">
        <v>0</v>
      </c>
      <c r="S48">
        <v>1</v>
      </c>
      <c r="T48">
        <v>0</v>
      </c>
      <c r="U48">
        <v>0</v>
      </c>
      <c r="V48">
        <v>0</v>
      </c>
      <c r="W48">
        <v>2</v>
      </c>
      <c r="X48">
        <v>0</v>
      </c>
      <c r="Y48">
        <v>1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1</v>
      </c>
      <c r="AG48">
        <v>0</v>
      </c>
      <c r="AH48">
        <v>1</v>
      </c>
      <c r="AI48">
        <v>0</v>
      </c>
      <c r="AJ48">
        <v>0</v>
      </c>
      <c r="AK48">
        <v>1</v>
      </c>
      <c r="AL48">
        <v>2</v>
      </c>
      <c r="AM48">
        <v>0</v>
      </c>
      <c r="AN48">
        <v>0</v>
      </c>
      <c r="AO48">
        <v>0</v>
      </c>
      <c r="AP48">
        <v>1</v>
      </c>
      <c r="AQ48">
        <v>0</v>
      </c>
      <c r="AR48">
        <v>0</v>
      </c>
      <c r="AS48">
        <v>1</v>
      </c>
      <c r="AT48">
        <v>0</v>
      </c>
      <c r="AU48">
        <v>0</v>
      </c>
      <c r="AV48">
        <v>1</v>
      </c>
      <c r="AW48">
        <v>0</v>
      </c>
      <c r="AX48">
        <v>1</v>
      </c>
      <c r="AY48">
        <v>0</v>
      </c>
      <c r="AZ48">
        <v>1</v>
      </c>
      <c r="BA48">
        <v>1</v>
      </c>
      <c r="BB48">
        <v>2</v>
      </c>
      <c r="BC48">
        <v>0</v>
      </c>
      <c r="BD48">
        <v>0</v>
      </c>
      <c r="BE48">
        <v>1</v>
      </c>
      <c r="BF48">
        <v>0</v>
      </c>
      <c r="BG48">
        <v>0</v>
      </c>
      <c r="BH48">
        <v>1</v>
      </c>
      <c r="BI48">
        <v>0</v>
      </c>
      <c r="BJ48">
        <v>0</v>
      </c>
      <c r="BK48">
        <v>1</v>
      </c>
      <c r="BL48">
        <v>0</v>
      </c>
      <c r="BM48">
        <v>1</v>
      </c>
      <c r="BN48">
        <v>1</v>
      </c>
      <c r="BO48">
        <v>2</v>
      </c>
      <c r="BP48">
        <v>2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1</v>
      </c>
      <c r="BW48">
        <v>1</v>
      </c>
      <c r="BX48">
        <v>0</v>
      </c>
      <c r="BY48">
        <v>0</v>
      </c>
      <c r="BZ48">
        <v>1</v>
      </c>
      <c r="CA48">
        <v>0</v>
      </c>
      <c r="CB48">
        <v>0</v>
      </c>
      <c r="CC48">
        <v>0</v>
      </c>
      <c r="CD48">
        <v>0</v>
      </c>
      <c r="CE48">
        <v>1</v>
      </c>
      <c r="CF48">
        <v>2</v>
      </c>
      <c r="CG48">
        <v>0</v>
      </c>
      <c r="CH48">
        <v>2</v>
      </c>
      <c r="CI48">
        <v>1</v>
      </c>
      <c r="CJ48">
        <v>0</v>
      </c>
      <c r="CK48">
        <v>1</v>
      </c>
      <c r="CL48">
        <v>0</v>
      </c>
      <c r="CM48">
        <v>0</v>
      </c>
      <c r="CN48">
        <v>0</v>
      </c>
      <c r="CO48">
        <v>2</v>
      </c>
      <c r="CP48">
        <v>2</v>
      </c>
      <c r="CQ48">
        <v>0</v>
      </c>
      <c r="CR48">
        <v>0</v>
      </c>
      <c r="CS48">
        <v>1</v>
      </c>
      <c r="CT48">
        <v>0</v>
      </c>
      <c r="CU48">
        <v>0</v>
      </c>
      <c r="CV48">
        <v>0</v>
      </c>
    </row>
    <row r="49" spans="1:100" x14ac:dyDescent="0.25">
      <c r="A49">
        <v>2</v>
      </c>
      <c r="B49">
        <v>0</v>
      </c>
      <c r="C49">
        <v>1</v>
      </c>
      <c r="D49">
        <v>1</v>
      </c>
      <c r="E49">
        <v>0</v>
      </c>
      <c r="F49">
        <v>1</v>
      </c>
      <c r="G49">
        <v>0</v>
      </c>
      <c r="H49">
        <v>0</v>
      </c>
      <c r="I49">
        <v>1</v>
      </c>
      <c r="J49">
        <v>1</v>
      </c>
      <c r="K49">
        <v>2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1</v>
      </c>
      <c r="S49">
        <v>2</v>
      </c>
      <c r="T49">
        <v>2</v>
      </c>
      <c r="U49">
        <v>1</v>
      </c>
      <c r="V49">
        <v>0</v>
      </c>
      <c r="W49">
        <v>0</v>
      </c>
      <c r="X49">
        <v>1</v>
      </c>
      <c r="Y49">
        <v>0</v>
      </c>
      <c r="Z49">
        <v>1</v>
      </c>
      <c r="AA49">
        <v>2</v>
      </c>
      <c r="AB49">
        <v>1</v>
      </c>
      <c r="AC49">
        <v>1</v>
      </c>
      <c r="AD49">
        <v>0</v>
      </c>
      <c r="AE49">
        <v>0</v>
      </c>
      <c r="AF49">
        <v>0</v>
      </c>
      <c r="AG49">
        <v>0</v>
      </c>
      <c r="AH49">
        <v>1</v>
      </c>
      <c r="AI49">
        <v>1</v>
      </c>
      <c r="AJ49">
        <v>0</v>
      </c>
      <c r="AK49">
        <v>0</v>
      </c>
      <c r="AL49">
        <v>2</v>
      </c>
      <c r="AM49">
        <v>0</v>
      </c>
      <c r="AN49">
        <v>1</v>
      </c>
      <c r="AO49">
        <v>1</v>
      </c>
      <c r="AP49">
        <v>1</v>
      </c>
      <c r="AQ49">
        <v>0</v>
      </c>
      <c r="AR49">
        <v>0</v>
      </c>
      <c r="AS49">
        <v>1</v>
      </c>
      <c r="AT49">
        <v>0</v>
      </c>
      <c r="AU49">
        <v>0</v>
      </c>
      <c r="AV49">
        <v>1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2</v>
      </c>
      <c r="BG49">
        <v>0</v>
      </c>
      <c r="BH49">
        <v>0</v>
      </c>
      <c r="BI49">
        <v>2</v>
      </c>
      <c r="BJ49">
        <v>2</v>
      </c>
      <c r="BK49">
        <v>1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1</v>
      </c>
      <c r="BS49">
        <v>0</v>
      </c>
      <c r="BT49">
        <v>1</v>
      </c>
      <c r="BU49">
        <v>1</v>
      </c>
      <c r="BV49">
        <v>0</v>
      </c>
      <c r="BW49">
        <v>1</v>
      </c>
      <c r="BX49">
        <v>1</v>
      </c>
      <c r="BY49">
        <v>0</v>
      </c>
      <c r="BZ49">
        <v>0</v>
      </c>
      <c r="CA49">
        <v>1</v>
      </c>
      <c r="CB49">
        <v>0</v>
      </c>
      <c r="CC49">
        <v>1</v>
      </c>
      <c r="CD49">
        <v>4</v>
      </c>
      <c r="CE49">
        <v>1</v>
      </c>
      <c r="CF49">
        <v>0</v>
      </c>
      <c r="CG49">
        <v>1</v>
      </c>
      <c r="CH49">
        <v>0</v>
      </c>
      <c r="CI49">
        <v>1</v>
      </c>
      <c r="CJ49">
        <v>1</v>
      </c>
      <c r="CK49">
        <v>1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3</v>
      </c>
      <c r="CV49">
        <v>0</v>
      </c>
    </row>
    <row r="50" spans="1:100" x14ac:dyDescent="0.25">
      <c r="A50">
        <v>0</v>
      </c>
      <c r="B50">
        <v>0</v>
      </c>
      <c r="C50">
        <v>1</v>
      </c>
      <c r="D50">
        <v>0</v>
      </c>
      <c r="E50">
        <v>0</v>
      </c>
      <c r="F50">
        <v>0</v>
      </c>
      <c r="G50">
        <v>0</v>
      </c>
      <c r="H50">
        <v>1</v>
      </c>
      <c r="I50">
        <v>1</v>
      </c>
      <c r="J50">
        <v>0</v>
      </c>
      <c r="K50">
        <v>2</v>
      </c>
      <c r="L50">
        <v>0</v>
      </c>
      <c r="M50">
        <v>0</v>
      </c>
      <c r="N50">
        <v>2</v>
      </c>
      <c r="O50">
        <v>1</v>
      </c>
      <c r="P50">
        <v>0</v>
      </c>
      <c r="Q50">
        <v>1</v>
      </c>
      <c r="R50">
        <v>1</v>
      </c>
      <c r="S50">
        <v>0</v>
      </c>
      <c r="T50">
        <v>0</v>
      </c>
      <c r="U50">
        <v>1</v>
      </c>
      <c r="V50">
        <v>0</v>
      </c>
      <c r="W50">
        <v>0</v>
      </c>
      <c r="X50">
        <v>0</v>
      </c>
      <c r="Y50">
        <v>2</v>
      </c>
      <c r="Z50">
        <v>1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2</v>
      </c>
      <c r="AG50">
        <v>0</v>
      </c>
      <c r="AH50">
        <v>1</v>
      </c>
      <c r="AI50">
        <v>1</v>
      </c>
      <c r="AJ50">
        <v>0</v>
      </c>
      <c r="AK50">
        <v>0</v>
      </c>
      <c r="AL50">
        <v>0</v>
      </c>
      <c r="AM50">
        <v>0</v>
      </c>
      <c r="AN50">
        <v>1</v>
      </c>
      <c r="AO50">
        <v>0</v>
      </c>
      <c r="AP50">
        <v>0</v>
      </c>
      <c r="AQ50">
        <v>1</v>
      </c>
      <c r="AR50">
        <v>1</v>
      </c>
      <c r="AS50">
        <v>1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1</v>
      </c>
      <c r="BD50">
        <v>0</v>
      </c>
      <c r="BE50">
        <v>2</v>
      </c>
      <c r="BF50">
        <v>0</v>
      </c>
      <c r="BG50">
        <v>1</v>
      </c>
      <c r="BH50">
        <v>1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2</v>
      </c>
      <c r="BO50">
        <v>0</v>
      </c>
      <c r="BP50">
        <v>1</v>
      </c>
      <c r="BQ50">
        <v>0</v>
      </c>
      <c r="BR50">
        <v>1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1</v>
      </c>
      <c r="BY50">
        <v>1</v>
      </c>
      <c r="BZ50">
        <v>2</v>
      </c>
      <c r="CA50">
        <v>0</v>
      </c>
      <c r="CB50">
        <v>0</v>
      </c>
      <c r="CC50">
        <v>0</v>
      </c>
      <c r="CD50">
        <v>1</v>
      </c>
      <c r="CE50">
        <v>1</v>
      </c>
      <c r="CF50">
        <v>0</v>
      </c>
      <c r="CG50">
        <v>1</v>
      </c>
      <c r="CH50">
        <v>1</v>
      </c>
      <c r="CI50">
        <v>1</v>
      </c>
      <c r="CJ50">
        <v>0</v>
      </c>
      <c r="CK50">
        <v>0</v>
      </c>
      <c r="CL50">
        <v>0</v>
      </c>
      <c r="CM50">
        <v>0</v>
      </c>
      <c r="CN50">
        <v>1</v>
      </c>
      <c r="CO50">
        <v>0</v>
      </c>
      <c r="CP50">
        <v>0</v>
      </c>
      <c r="CQ50">
        <v>0</v>
      </c>
      <c r="CR50">
        <v>1</v>
      </c>
      <c r="CS50">
        <v>0</v>
      </c>
      <c r="CT50">
        <v>0</v>
      </c>
      <c r="CU50">
        <v>0</v>
      </c>
      <c r="CV50">
        <v>0</v>
      </c>
    </row>
    <row r="51" spans="1:100" x14ac:dyDescent="0.25">
      <c r="A51">
        <v>0</v>
      </c>
      <c r="B51">
        <v>1</v>
      </c>
      <c r="C51">
        <v>0</v>
      </c>
      <c r="D51">
        <v>1</v>
      </c>
      <c r="E51">
        <v>1</v>
      </c>
      <c r="F51">
        <v>0</v>
      </c>
      <c r="G51">
        <v>0</v>
      </c>
      <c r="H51">
        <v>0</v>
      </c>
      <c r="I51">
        <v>1</v>
      </c>
      <c r="J51">
        <v>0</v>
      </c>
      <c r="K51">
        <v>0</v>
      </c>
      <c r="L51">
        <v>0</v>
      </c>
      <c r="M51">
        <v>1</v>
      </c>
      <c r="N51">
        <v>3</v>
      </c>
      <c r="O51">
        <v>0</v>
      </c>
      <c r="P51">
        <v>0</v>
      </c>
      <c r="Q51">
        <v>1</v>
      </c>
      <c r="R51">
        <v>0</v>
      </c>
      <c r="S51">
        <v>2</v>
      </c>
      <c r="T51">
        <v>1</v>
      </c>
      <c r="U51">
        <v>0</v>
      </c>
      <c r="V51">
        <v>1</v>
      </c>
      <c r="W51">
        <v>0</v>
      </c>
      <c r="X51">
        <v>0</v>
      </c>
      <c r="Y51">
        <v>0</v>
      </c>
      <c r="Z51">
        <v>0</v>
      </c>
      <c r="AA51">
        <v>1</v>
      </c>
      <c r="AB51">
        <v>0</v>
      </c>
      <c r="AC51">
        <v>0</v>
      </c>
      <c r="AD51">
        <v>2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1</v>
      </c>
      <c r="AL51">
        <v>0</v>
      </c>
      <c r="AM51">
        <v>1</v>
      </c>
      <c r="AN51">
        <v>0</v>
      </c>
      <c r="AO51">
        <v>0</v>
      </c>
      <c r="AP51">
        <v>0</v>
      </c>
      <c r="AQ51">
        <v>0</v>
      </c>
      <c r="AR51">
        <v>1</v>
      </c>
      <c r="AS51">
        <v>0</v>
      </c>
      <c r="AT51">
        <v>0</v>
      </c>
      <c r="AU51">
        <v>0</v>
      </c>
      <c r="AV51">
        <v>1</v>
      </c>
      <c r="AW51">
        <v>1</v>
      </c>
      <c r="AX51">
        <v>1</v>
      </c>
      <c r="AY51">
        <v>1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3</v>
      </c>
      <c r="BF51">
        <v>2</v>
      </c>
      <c r="BG51">
        <v>2</v>
      </c>
      <c r="BH51">
        <v>1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1</v>
      </c>
      <c r="BO51">
        <v>0</v>
      </c>
      <c r="BP51">
        <v>0</v>
      </c>
      <c r="BQ51">
        <v>0</v>
      </c>
      <c r="BR51">
        <v>0</v>
      </c>
      <c r="BS51">
        <v>1</v>
      </c>
      <c r="BT51">
        <v>0</v>
      </c>
      <c r="BU51">
        <v>0</v>
      </c>
      <c r="BV51">
        <v>0</v>
      </c>
      <c r="BW51">
        <v>0</v>
      </c>
      <c r="BX51">
        <v>1</v>
      </c>
      <c r="BY51">
        <v>1</v>
      </c>
      <c r="BZ51">
        <v>0</v>
      </c>
      <c r="CA51">
        <v>0</v>
      </c>
      <c r="CB51">
        <v>1</v>
      </c>
      <c r="CC51">
        <v>1</v>
      </c>
      <c r="CD51">
        <v>0</v>
      </c>
      <c r="CE51">
        <v>0</v>
      </c>
      <c r="CF51">
        <v>2</v>
      </c>
      <c r="CG51">
        <v>0</v>
      </c>
      <c r="CH51">
        <v>0</v>
      </c>
      <c r="CI51">
        <v>0</v>
      </c>
      <c r="CJ51">
        <v>1</v>
      </c>
      <c r="CK51">
        <v>0</v>
      </c>
      <c r="CL51">
        <v>1</v>
      </c>
      <c r="CM51">
        <v>0</v>
      </c>
      <c r="CN51">
        <v>0</v>
      </c>
      <c r="CO51">
        <v>2</v>
      </c>
      <c r="CP51">
        <v>0</v>
      </c>
      <c r="CQ51">
        <v>1</v>
      </c>
      <c r="CR51">
        <v>2</v>
      </c>
      <c r="CS51">
        <v>0</v>
      </c>
      <c r="CT51">
        <v>2</v>
      </c>
      <c r="CU51">
        <v>0</v>
      </c>
      <c r="CV51">
        <v>0</v>
      </c>
    </row>
    <row r="52" spans="1:100" x14ac:dyDescent="0.25">
      <c r="A52">
        <v>1</v>
      </c>
      <c r="B52">
        <v>0</v>
      </c>
      <c r="C52">
        <v>0</v>
      </c>
      <c r="D52">
        <v>1</v>
      </c>
      <c r="E52">
        <v>0</v>
      </c>
      <c r="F52">
        <v>0</v>
      </c>
      <c r="G52">
        <v>2</v>
      </c>
      <c r="H52">
        <v>0</v>
      </c>
      <c r="I52">
        <v>0</v>
      </c>
      <c r="J52">
        <v>1</v>
      </c>
      <c r="K52">
        <v>1</v>
      </c>
      <c r="L52">
        <v>2</v>
      </c>
      <c r="M52">
        <v>0</v>
      </c>
      <c r="N52">
        <v>0</v>
      </c>
      <c r="O52">
        <v>0</v>
      </c>
      <c r="P52">
        <v>2</v>
      </c>
      <c r="Q52">
        <v>1</v>
      </c>
      <c r="R52">
        <v>0</v>
      </c>
      <c r="S52">
        <v>0</v>
      </c>
      <c r="T52">
        <v>1</v>
      </c>
      <c r="U52">
        <v>1</v>
      </c>
      <c r="V52">
        <v>0</v>
      </c>
      <c r="W52">
        <v>0</v>
      </c>
      <c r="X52">
        <v>0</v>
      </c>
      <c r="Y52">
        <v>1</v>
      </c>
      <c r="Z52">
        <v>1</v>
      </c>
      <c r="AA52">
        <v>0</v>
      </c>
      <c r="AB52">
        <v>2</v>
      </c>
      <c r="AC52">
        <v>0</v>
      </c>
      <c r="AD52">
        <v>0</v>
      </c>
      <c r="AE52">
        <v>0</v>
      </c>
      <c r="AF52">
        <v>0</v>
      </c>
      <c r="AG52">
        <v>1</v>
      </c>
      <c r="AH52">
        <v>2</v>
      </c>
      <c r="AI52">
        <v>0</v>
      </c>
      <c r="AJ52">
        <v>1</v>
      </c>
      <c r="AK52">
        <v>0</v>
      </c>
      <c r="AL52">
        <v>1</v>
      </c>
      <c r="AM52">
        <v>0</v>
      </c>
      <c r="AN52">
        <v>0</v>
      </c>
      <c r="AO52">
        <v>0</v>
      </c>
      <c r="AP52">
        <v>1</v>
      </c>
      <c r="AQ52">
        <v>1</v>
      </c>
      <c r="AR52">
        <v>1</v>
      </c>
      <c r="AS52">
        <v>0</v>
      </c>
      <c r="AT52">
        <v>0</v>
      </c>
      <c r="AU52">
        <v>1</v>
      </c>
      <c r="AV52">
        <v>0</v>
      </c>
      <c r="AW52">
        <v>0</v>
      </c>
      <c r="AX52">
        <v>1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1</v>
      </c>
      <c r="BF52">
        <v>0</v>
      </c>
      <c r="BG52">
        <v>0</v>
      </c>
      <c r="BH52">
        <v>1</v>
      </c>
      <c r="BI52">
        <v>4</v>
      </c>
      <c r="BJ52">
        <v>0</v>
      </c>
      <c r="BK52">
        <v>0</v>
      </c>
      <c r="BL52">
        <v>1</v>
      </c>
      <c r="BM52">
        <v>1</v>
      </c>
      <c r="BN52">
        <v>1</v>
      </c>
      <c r="BO52">
        <v>0</v>
      </c>
      <c r="BP52">
        <v>0</v>
      </c>
      <c r="BQ52">
        <v>0</v>
      </c>
      <c r="BR52">
        <v>1</v>
      </c>
      <c r="BS52">
        <v>0</v>
      </c>
      <c r="BT52">
        <v>1</v>
      </c>
      <c r="BU52">
        <v>0</v>
      </c>
      <c r="BV52">
        <v>0</v>
      </c>
      <c r="BW52">
        <v>2</v>
      </c>
      <c r="BX52">
        <v>0</v>
      </c>
      <c r="BY52">
        <v>0</v>
      </c>
      <c r="BZ52">
        <v>0</v>
      </c>
      <c r="CA52">
        <v>0</v>
      </c>
      <c r="CB52">
        <v>1</v>
      </c>
      <c r="CC52">
        <v>0</v>
      </c>
      <c r="CD52">
        <v>0</v>
      </c>
      <c r="CE52">
        <v>1</v>
      </c>
      <c r="CF52">
        <v>0</v>
      </c>
      <c r="CG52">
        <v>1</v>
      </c>
      <c r="CH52">
        <v>2</v>
      </c>
      <c r="CI52">
        <v>0</v>
      </c>
      <c r="CJ52">
        <v>0</v>
      </c>
      <c r="CK52">
        <v>0</v>
      </c>
      <c r="CL52">
        <v>1</v>
      </c>
      <c r="CM52">
        <v>1</v>
      </c>
      <c r="CN52">
        <v>0</v>
      </c>
      <c r="CO52">
        <v>0</v>
      </c>
      <c r="CP52">
        <v>0</v>
      </c>
      <c r="CQ52">
        <v>0</v>
      </c>
      <c r="CR52">
        <v>1</v>
      </c>
      <c r="CS52">
        <v>0</v>
      </c>
      <c r="CT52">
        <v>0</v>
      </c>
      <c r="CU52">
        <v>1</v>
      </c>
      <c r="CV52">
        <v>0</v>
      </c>
    </row>
    <row r="54" spans="1:100" x14ac:dyDescent="0.25">
      <c r="A54">
        <f>AVERAGE(A2:A52)</f>
        <v>0.42</v>
      </c>
      <c r="B54">
        <f t="shared" ref="B54:BM54" si="0">AVERAGE(B2:B52)</f>
        <v>0.32</v>
      </c>
      <c r="C54">
        <f t="shared" si="0"/>
        <v>0.74</v>
      </c>
      <c r="D54">
        <f t="shared" si="0"/>
        <v>0.7</v>
      </c>
      <c r="E54">
        <f t="shared" si="0"/>
        <v>0.48</v>
      </c>
      <c r="F54">
        <f t="shared" si="0"/>
        <v>0.4</v>
      </c>
      <c r="G54">
        <f t="shared" si="0"/>
        <v>0.76</v>
      </c>
      <c r="H54">
        <f t="shared" si="0"/>
        <v>0.28000000000000003</v>
      </c>
      <c r="I54">
        <f t="shared" si="0"/>
        <v>0.56000000000000005</v>
      </c>
      <c r="J54">
        <f t="shared" si="0"/>
        <v>0.62</v>
      </c>
      <c r="K54">
        <f t="shared" si="0"/>
        <v>0.57999999999999996</v>
      </c>
      <c r="L54">
        <f t="shared" si="0"/>
        <v>0.64</v>
      </c>
      <c r="M54">
        <f t="shared" si="0"/>
        <v>0.44</v>
      </c>
      <c r="N54">
        <f t="shared" si="0"/>
        <v>0.66</v>
      </c>
      <c r="O54">
        <f t="shared" si="0"/>
        <v>0.57999999999999996</v>
      </c>
      <c r="P54">
        <f t="shared" si="0"/>
        <v>0.46</v>
      </c>
      <c r="Q54">
        <f t="shared" si="0"/>
        <v>0.62</v>
      </c>
      <c r="R54">
        <f t="shared" si="0"/>
        <v>0.46</v>
      </c>
      <c r="S54">
        <f t="shared" si="0"/>
        <v>0.42</v>
      </c>
      <c r="T54">
        <f t="shared" si="0"/>
        <v>0.5</v>
      </c>
      <c r="U54">
        <f t="shared" si="0"/>
        <v>0.48</v>
      </c>
      <c r="V54">
        <f t="shared" si="0"/>
        <v>0.4</v>
      </c>
      <c r="W54">
        <f t="shared" si="0"/>
        <v>0.46</v>
      </c>
      <c r="X54">
        <f t="shared" si="0"/>
        <v>0.38</v>
      </c>
      <c r="Y54">
        <f t="shared" si="0"/>
        <v>0.46</v>
      </c>
      <c r="Z54">
        <f t="shared" si="0"/>
        <v>0.57999999999999996</v>
      </c>
      <c r="AA54">
        <f t="shared" si="0"/>
        <v>0.6</v>
      </c>
      <c r="AB54">
        <f t="shared" si="0"/>
        <v>0.48</v>
      </c>
      <c r="AC54">
        <f t="shared" si="0"/>
        <v>0.48</v>
      </c>
      <c r="AD54">
        <f t="shared" si="0"/>
        <v>0.56000000000000005</v>
      </c>
      <c r="AE54">
        <f t="shared" si="0"/>
        <v>0.56000000000000005</v>
      </c>
      <c r="AF54">
        <f t="shared" si="0"/>
        <v>0.46</v>
      </c>
      <c r="AG54">
        <f t="shared" si="0"/>
        <v>0.44</v>
      </c>
      <c r="AH54">
        <f t="shared" si="0"/>
        <v>0.54</v>
      </c>
      <c r="AI54">
        <f t="shared" si="0"/>
        <v>0.36</v>
      </c>
      <c r="AJ54">
        <f t="shared" si="0"/>
        <v>0.38</v>
      </c>
      <c r="AK54">
        <f t="shared" si="0"/>
        <v>0.5</v>
      </c>
      <c r="AL54">
        <f t="shared" si="0"/>
        <v>0.64</v>
      </c>
      <c r="AM54">
        <f t="shared" si="0"/>
        <v>0.46</v>
      </c>
      <c r="AN54">
        <f t="shared" si="0"/>
        <v>0.46</v>
      </c>
      <c r="AO54">
        <f t="shared" si="0"/>
        <v>0.56000000000000005</v>
      </c>
      <c r="AP54">
        <f t="shared" si="0"/>
        <v>0.46</v>
      </c>
      <c r="AQ54">
        <f t="shared" si="0"/>
        <v>0.32</v>
      </c>
      <c r="AR54">
        <f t="shared" si="0"/>
        <v>0.52</v>
      </c>
      <c r="AS54">
        <f t="shared" si="0"/>
        <v>0.44</v>
      </c>
      <c r="AT54">
        <f t="shared" si="0"/>
        <v>0.46</v>
      </c>
      <c r="AU54">
        <f t="shared" si="0"/>
        <v>0.52</v>
      </c>
      <c r="AV54">
        <f t="shared" si="0"/>
        <v>0.46</v>
      </c>
      <c r="AW54">
        <f t="shared" si="0"/>
        <v>0.38</v>
      </c>
      <c r="AX54">
        <f t="shared" si="0"/>
        <v>0.48</v>
      </c>
      <c r="AY54">
        <f t="shared" si="0"/>
        <v>0.44</v>
      </c>
      <c r="AZ54">
        <f t="shared" si="0"/>
        <v>0.3</v>
      </c>
      <c r="BA54">
        <f t="shared" si="0"/>
        <v>0.38</v>
      </c>
      <c r="BB54">
        <f t="shared" si="0"/>
        <v>0.64</v>
      </c>
      <c r="BC54">
        <f t="shared" si="0"/>
        <v>0.28000000000000003</v>
      </c>
      <c r="BD54">
        <f t="shared" si="0"/>
        <v>0.4</v>
      </c>
      <c r="BE54">
        <f t="shared" si="0"/>
        <v>0.57999999999999996</v>
      </c>
      <c r="BF54">
        <f t="shared" si="0"/>
        <v>0.66</v>
      </c>
      <c r="BG54">
        <f t="shared" si="0"/>
        <v>0.42</v>
      </c>
      <c r="BH54">
        <f t="shared" si="0"/>
        <v>0.74</v>
      </c>
      <c r="BI54">
        <f t="shared" si="0"/>
        <v>0.52</v>
      </c>
      <c r="BJ54">
        <f t="shared" si="0"/>
        <v>0.54</v>
      </c>
      <c r="BK54">
        <f t="shared" si="0"/>
        <v>0.36</v>
      </c>
      <c r="BL54">
        <f t="shared" si="0"/>
        <v>0.42</v>
      </c>
      <c r="BM54">
        <f t="shared" si="0"/>
        <v>0.46</v>
      </c>
      <c r="BN54">
        <f t="shared" ref="BN54:CV54" si="1">AVERAGE(BN2:BN52)</f>
        <v>0.6</v>
      </c>
      <c r="BO54">
        <f t="shared" si="1"/>
        <v>0.4</v>
      </c>
      <c r="BP54">
        <f t="shared" si="1"/>
        <v>0.52</v>
      </c>
      <c r="BQ54">
        <f t="shared" si="1"/>
        <v>0.48</v>
      </c>
      <c r="BR54">
        <f t="shared" si="1"/>
        <v>0.36</v>
      </c>
      <c r="BS54">
        <f t="shared" si="1"/>
        <v>0.42</v>
      </c>
      <c r="BT54">
        <f t="shared" si="1"/>
        <v>0.42</v>
      </c>
      <c r="BU54">
        <f t="shared" si="1"/>
        <v>0.52</v>
      </c>
      <c r="BV54">
        <f t="shared" si="1"/>
        <v>0.38</v>
      </c>
      <c r="BW54">
        <f t="shared" si="1"/>
        <v>0.54</v>
      </c>
      <c r="BX54">
        <f t="shared" si="1"/>
        <v>0.44</v>
      </c>
      <c r="BY54">
        <f t="shared" si="1"/>
        <v>0.6</v>
      </c>
      <c r="BZ54">
        <f t="shared" si="1"/>
        <v>0.46</v>
      </c>
      <c r="CA54">
        <f t="shared" si="1"/>
        <v>0.57999999999999996</v>
      </c>
      <c r="CB54">
        <f t="shared" si="1"/>
        <v>0.54</v>
      </c>
      <c r="CC54">
        <f t="shared" si="1"/>
        <v>0.62</v>
      </c>
      <c r="CD54">
        <f t="shared" si="1"/>
        <v>0.4</v>
      </c>
      <c r="CE54">
        <f t="shared" si="1"/>
        <v>0.74</v>
      </c>
      <c r="CF54">
        <f t="shared" si="1"/>
        <v>0.52</v>
      </c>
      <c r="CG54">
        <f t="shared" si="1"/>
        <v>0.54</v>
      </c>
      <c r="CH54">
        <f t="shared" si="1"/>
        <v>0.66</v>
      </c>
      <c r="CI54">
        <f t="shared" si="1"/>
        <v>0.62</v>
      </c>
      <c r="CJ54">
        <f t="shared" si="1"/>
        <v>0.46</v>
      </c>
      <c r="CK54">
        <f t="shared" si="1"/>
        <v>0.44</v>
      </c>
      <c r="CL54">
        <f t="shared" si="1"/>
        <v>0.5</v>
      </c>
      <c r="CM54">
        <f t="shared" si="1"/>
        <v>0.28000000000000003</v>
      </c>
      <c r="CN54">
        <f t="shared" si="1"/>
        <v>0.6</v>
      </c>
      <c r="CO54">
        <f t="shared" si="1"/>
        <v>0.44</v>
      </c>
      <c r="CP54">
        <f t="shared" si="1"/>
        <v>0.52</v>
      </c>
      <c r="CQ54">
        <f t="shared" si="1"/>
        <v>0.46</v>
      </c>
      <c r="CR54">
        <f t="shared" si="1"/>
        <v>0.62</v>
      </c>
      <c r="CS54">
        <f t="shared" si="1"/>
        <v>0.6</v>
      </c>
      <c r="CT54">
        <f t="shared" si="1"/>
        <v>0.56000000000000005</v>
      </c>
      <c r="CU54">
        <f t="shared" si="1"/>
        <v>0.52</v>
      </c>
      <c r="CV54">
        <f t="shared" si="1"/>
        <v>0.32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7"/>
  <dimension ref="A1:Z102"/>
  <sheetViews>
    <sheetView workbookViewId="0"/>
  </sheetViews>
  <sheetFormatPr defaultRowHeight="15" x14ac:dyDescent="0.25"/>
  <cols>
    <col min="1" max="1" width="18.85546875" customWidth="1"/>
    <col min="3" max="3" width="6.42578125" customWidth="1"/>
    <col min="6" max="6" width="9.140625" customWidth="1"/>
  </cols>
  <sheetData>
    <row r="1" spans="1:26" x14ac:dyDescent="0.25">
      <c r="A1" s="1" t="s">
        <v>494</v>
      </c>
      <c r="O1" s="390" t="s">
        <v>384</v>
      </c>
    </row>
    <row r="3" spans="1:26" x14ac:dyDescent="0.25">
      <c r="A3" t="s">
        <v>495</v>
      </c>
      <c r="O3">
        <f t="array" ref="O3:O102">TRANSPOSE('Uniform Sample'!A54:CV54)</f>
        <v>102.70265816217533</v>
      </c>
      <c r="Q3" s="316" t="e">
        <f t="array" aca="1" ref="Q3:Z12" ca="1">RESHAPE(O3:O102)</f>
        <v>#NAME?</v>
      </c>
      <c r="R3" s="292" t="e">
        <f ca="1"/>
        <v>#NAME?</v>
      </c>
      <c r="S3" s="292" t="e">
        <f ca="1"/>
        <v>#NAME?</v>
      </c>
      <c r="T3" s="292" t="e">
        <f ca="1"/>
        <v>#NAME?</v>
      </c>
      <c r="U3" s="292" t="e">
        <f ca="1"/>
        <v>#NAME?</v>
      </c>
      <c r="V3" s="292" t="e">
        <f ca="1"/>
        <v>#NAME?</v>
      </c>
      <c r="W3" s="292" t="e">
        <f ca="1"/>
        <v>#NAME?</v>
      </c>
      <c r="X3" s="292" t="e">
        <f ca="1"/>
        <v>#NAME?</v>
      </c>
      <c r="Y3" s="292" t="e">
        <f ca="1"/>
        <v>#NAME?</v>
      </c>
      <c r="Z3" s="317" t="e">
        <f ca="1"/>
        <v>#NAME?</v>
      </c>
    </row>
    <row r="4" spans="1:26" ht="15.75" thickBot="1" x14ac:dyDescent="0.3">
      <c r="O4">
        <v>102.89223914304029</v>
      </c>
      <c r="Q4" s="166" t="e">
        <f ca="1"/>
        <v>#NAME?</v>
      </c>
      <c r="R4" s="8" t="e">
        <f ca="1"/>
        <v>#NAME?</v>
      </c>
      <c r="S4" s="8" t="e">
        <f ca="1"/>
        <v>#NAME?</v>
      </c>
      <c r="T4" s="8" t="e">
        <f ca="1"/>
        <v>#NAME?</v>
      </c>
      <c r="U4" s="8" t="e">
        <f ca="1"/>
        <v>#NAME?</v>
      </c>
      <c r="V4" s="8" t="e">
        <f ca="1"/>
        <v>#NAME?</v>
      </c>
      <c r="W4" s="8" t="e">
        <f ca="1"/>
        <v>#NAME?</v>
      </c>
      <c r="X4" s="8" t="e">
        <f ca="1"/>
        <v>#NAME?</v>
      </c>
      <c r="Y4" s="8" t="e">
        <f ca="1"/>
        <v>#NAME?</v>
      </c>
      <c r="Z4" s="167" t="e">
        <f ca="1"/>
        <v>#NAME?</v>
      </c>
    </row>
    <row r="5" spans="1:26" x14ac:dyDescent="0.25">
      <c r="A5" t="s">
        <v>496</v>
      </c>
      <c r="B5">
        <v>100</v>
      </c>
      <c r="D5" s="178" t="s">
        <v>110</v>
      </c>
      <c r="E5" s="178" t="s">
        <v>106</v>
      </c>
      <c r="O5">
        <v>85.963011566515092</v>
      </c>
      <c r="Q5" s="166" t="e">
        <f ca="1"/>
        <v>#NAME?</v>
      </c>
      <c r="R5" s="8" t="e">
        <f ca="1"/>
        <v>#NAME?</v>
      </c>
      <c r="S5" s="8" t="e">
        <f ca="1"/>
        <v>#NAME?</v>
      </c>
      <c r="T5" s="8" t="e">
        <f ca="1"/>
        <v>#NAME?</v>
      </c>
      <c r="U5" s="8" t="e">
        <f ca="1"/>
        <v>#NAME?</v>
      </c>
      <c r="V5" s="8" t="e">
        <f ca="1"/>
        <v>#NAME?</v>
      </c>
      <c r="W5" s="8" t="e">
        <f ca="1"/>
        <v>#NAME?</v>
      </c>
      <c r="X5" s="8" t="e">
        <f ca="1"/>
        <v>#NAME?</v>
      </c>
      <c r="Y5" s="8" t="e">
        <f ca="1"/>
        <v>#NAME?</v>
      </c>
      <c r="Z5" s="167" t="e">
        <f ca="1"/>
        <v>#NAME?</v>
      </c>
    </row>
    <row r="6" spans="1:26" x14ac:dyDescent="0.25">
      <c r="A6" t="s">
        <v>497</v>
      </c>
      <c r="B6">
        <v>50</v>
      </c>
      <c r="D6" s="28">
        <v>90</v>
      </c>
      <c r="E6" s="27">
        <v>2</v>
      </c>
      <c r="O6">
        <v>97.288308359019751</v>
      </c>
      <c r="Q6" s="166" t="e">
        <f ca="1"/>
        <v>#NAME?</v>
      </c>
      <c r="R6" s="8" t="e">
        <f ca="1"/>
        <v>#NAME?</v>
      </c>
      <c r="S6" s="8" t="e">
        <f ca="1"/>
        <v>#NAME?</v>
      </c>
      <c r="T6" s="8" t="e">
        <f ca="1"/>
        <v>#NAME?</v>
      </c>
      <c r="U6" s="8" t="e">
        <f ca="1"/>
        <v>#NAME?</v>
      </c>
      <c r="V6" s="8" t="e">
        <f ca="1"/>
        <v>#NAME?</v>
      </c>
      <c r="W6" s="8" t="e">
        <f ca="1"/>
        <v>#NAME?</v>
      </c>
      <c r="X6" s="8" t="e">
        <f ca="1"/>
        <v>#NAME?</v>
      </c>
      <c r="Y6" s="8" t="e">
        <f ca="1"/>
        <v>#NAME?</v>
      </c>
      <c r="Z6" s="167" t="e">
        <f ca="1"/>
        <v>#NAME?</v>
      </c>
    </row>
    <row r="7" spans="1:26" x14ac:dyDescent="0.25">
      <c r="A7" t="s">
        <v>63</v>
      </c>
      <c r="B7">
        <f>AVERAGE('Uniform Sample'!A54:CV54)</f>
        <v>100.05664845728934</v>
      </c>
      <c r="D7" s="28">
        <v>92</v>
      </c>
      <c r="E7" s="27">
        <v>3</v>
      </c>
      <c r="O7">
        <v>101.3216345713675</v>
      </c>
      <c r="Q7" s="166" t="e">
        <f ca="1"/>
        <v>#NAME?</v>
      </c>
      <c r="R7" s="8" t="e">
        <f ca="1"/>
        <v>#NAME?</v>
      </c>
      <c r="S7" s="8" t="e">
        <f ca="1"/>
        <v>#NAME?</v>
      </c>
      <c r="T7" s="8" t="e">
        <f ca="1"/>
        <v>#NAME?</v>
      </c>
      <c r="U7" s="8" t="e">
        <f ca="1"/>
        <v>#NAME?</v>
      </c>
      <c r="V7" s="8" t="e">
        <f ca="1"/>
        <v>#NAME?</v>
      </c>
      <c r="W7" s="8" t="e">
        <f ca="1"/>
        <v>#NAME?</v>
      </c>
      <c r="X7" s="8" t="e">
        <f ca="1"/>
        <v>#NAME?</v>
      </c>
      <c r="Y7" s="8" t="e">
        <f ca="1"/>
        <v>#NAME?</v>
      </c>
      <c r="Z7" s="167" t="e">
        <f ca="1"/>
        <v>#NAME?</v>
      </c>
    </row>
    <row r="8" spans="1:26" x14ac:dyDescent="0.25">
      <c r="A8" t="s">
        <v>199</v>
      </c>
      <c r="B8">
        <f>STDEV('Uniform Sample'!A54:CV54)</f>
        <v>4.3187345615329651</v>
      </c>
      <c r="D8" s="28">
        <v>94</v>
      </c>
      <c r="E8" s="27">
        <v>5</v>
      </c>
      <c r="O8">
        <v>100.33057649464398</v>
      </c>
      <c r="Q8" s="166" t="e">
        <f ca="1"/>
        <v>#NAME?</v>
      </c>
      <c r="R8" s="8" t="e">
        <f ca="1"/>
        <v>#NAME?</v>
      </c>
      <c r="S8" s="8" t="e">
        <f ca="1"/>
        <v>#NAME?</v>
      </c>
      <c r="T8" s="8" t="e">
        <f ca="1"/>
        <v>#NAME?</v>
      </c>
      <c r="U8" s="8" t="e">
        <f ca="1"/>
        <v>#NAME?</v>
      </c>
      <c r="V8" s="8" t="e">
        <f ca="1"/>
        <v>#NAME?</v>
      </c>
      <c r="W8" s="8" t="e">
        <f ca="1"/>
        <v>#NAME?</v>
      </c>
      <c r="X8" s="8" t="e">
        <f ca="1"/>
        <v>#NAME?</v>
      </c>
      <c r="Y8" s="8" t="e">
        <f ca="1"/>
        <v>#NAME?</v>
      </c>
      <c r="Z8" s="167" t="e">
        <f ca="1"/>
        <v>#NAME?</v>
      </c>
    </row>
    <row r="9" spans="1:26" x14ac:dyDescent="0.25">
      <c r="D9" s="28">
        <v>96</v>
      </c>
      <c r="E9" s="27">
        <v>4</v>
      </c>
      <c r="O9">
        <v>102.5832087160863</v>
      </c>
      <c r="Q9" s="166" t="e">
        <f ca="1"/>
        <v>#NAME?</v>
      </c>
      <c r="R9" s="8" t="e">
        <f ca="1"/>
        <v>#NAME?</v>
      </c>
      <c r="S9" s="8" t="e">
        <f ca="1"/>
        <v>#NAME?</v>
      </c>
      <c r="T9" s="8" t="e">
        <f ca="1"/>
        <v>#NAME?</v>
      </c>
      <c r="U9" s="8" t="e">
        <f ca="1"/>
        <v>#NAME?</v>
      </c>
      <c r="V9" s="8" t="e">
        <f ca="1"/>
        <v>#NAME?</v>
      </c>
      <c r="W9" s="8" t="e">
        <f ca="1"/>
        <v>#NAME?</v>
      </c>
      <c r="X9" s="8" t="e">
        <f ca="1"/>
        <v>#NAME?</v>
      </c>
      <c r="Y9" s="8" t="e">
        <f ca="1"/>
        <v>#NAME?</v>
      </c>
      <c r="Z9" s="167" t="e">
        <f ca="1"/>
        <v>#NAME?</v>
      </c>
    </row>
    <row r="10" spans="1:26" x14ac:dyDescent="0.25">
      <c r="A10" t="s">
        <v>498</v>
      </c>
      <c r="D10" s="28">
        <v>98</v>
      </c>
      <c r="E10" s="27">
        <v>9</v>
      </c>
      <c r="O10">
        <v>96.162846766563945</v>
      </c>
      <c r="Q10" s="166" t="e">
        <f ca="1"/>
        <v>#NAME?</v>
      </c>
      <c r="R10" s="8" t="e">
        <f ca="1"/>
        <v>#NAME?</v>
      </c>
      <c r="S10" s="8" t="e">
        <f ca="1"/>
        <v>#NAME?</v>
      </c>
      <c r="T10" s="8" t="e">
        <f ca="1"/>
        <v>#NAME?</v>
      </c>
      <c r="U10" s="8" t="e">
        <f ca="1"/>
        <v>#NAME?</v>
      </c>
      <c r="V10" s="8" t="e">
        <f ca="1"/>
        <v>#NAME?</v>
      </c>
      <c r="W10" s="8" t="e">
        <f ca="1"/>
        <v>#NAME?</v>
      </c>
      <c r="X10" s="8" t="e">
        <f ca="1"/>
        <v>#NAME?</v>
      </c>
      <c r="Y10" s="8" t="e">
        <f ca="1"/>
        <v>#NAME?</v>
      </c>
      <c r="Z10" s="167" t="e">
        <f ca="1"/>
        <v>#NAME?</v>
      </c>
    </row>
    <row r="11" spans="1:26" x14ac:dyDescent="0.25">
      <c r="A11" t="s">
        <v>63</v>
      </c>
      <c r="B11">
        <f>(50+150)/2</f>
        <v>100</v>
      </c>
      <c r="D11" s="28">
        <v>100</v>
      </c>
      <c r="E11" s="27">
        <v>27</v>
      </c>
      <c r="O11">
        <v>91.877193517868562</v>
      </c>
      <c r="Q11" s="166" t="e">
        <f ca="1"/>
        <v>#NAME?</v>
      </c>
      <c r="R11" s="8" t="e">
        <f ca="1"/>
        <v>#NAME?</v>
      </c>
      <c r="S11" s="8" t="e">
        <f ca="1"/>
        <v>#NAME?</v>
      </c>
      <c r="T11" s="8" t="e">
        <f ca="1"/>
        <v>#NAME?</v>
      </c>
      <c r="U11" s="8" t="e">
        <f ca="1"/>
        <v>#NAME?</v>
      </c>
      <c r="V11" s="8" t="e">
        <f ca="1"/>
        <v>#NAME?</v>
      </c>
      <c r="W11" s="8" t="e">
        <f ca="1"/>
        <v>#NAME?</v>
      </c>
      <c r="X11" s="8" t="e">
        <f ca="1"/>
        <v>#NAME?</v>
      </c>
      <c r="Y11" s="8" t="e">
        <f ca="1"/>
        <v>#NAME?</v>
      </c>
      <c r="Z11" s="167" t="e">
        <f ca="1"/>
        <v>#NAME?</v>
      </c>
    </row>
    <row r="12" spans="1:26" x14ac:dyDescent="0.25">
      <c r="A12" t="s">
        <v>66</v>
      </c>
      <c r="B12">
        <f>(150-50)/SQRT(12)</f>
        <v>28.867513459481291</v>
      </c>
      <c r="D12" s="28">
        <v>102</v>
      </c>
      <c r="E12" s="27">
        <v>23</v>
      </c>
      <c r="O12">
        <v>100.97317423017059</v>
      </c>
      <c r="Q12" s="148" t="e">
        <f ca="1"/>
        <v>#NAME?</v>
      </c>
      <c r="R12" s="276" t="e">
        <f ca="1"/>
        <v>#NAME?</v>
      </c>
      <c r="S12" s="276" t="e">
        <f ca="1"/>
        <v>#NAME?</v>
      </c>
      <c r="T12" s="276" t="e">
        <f ca="1"/>
        <v>#NAME?</v>
      </c>
      <c r="U12" s="276" t="e">
        <f ca="1"/>
        <v>#NAME?</v>
      </c>
      <c r="V12" s="276" t="e">
        <f ca="1"/>
        <v>#NAME?</v>
      </c>
      <c r="W12" s="276" t="e">
        <f ca="1"/>
        <v>#NAME?</v>
      </c>
      <c r="X12" s="276" t="e">
        <f ca="1"/>
        <v>#NAME?</v>
      </c>
      <c r="Y12" s="276" t="e">
        <f ca="1"/>
        <v>#NAME?</v>
      </c>
      <c r="Z12" s="153" t="e">
        <f ca="1"/>
        <v>#NAME?</v>
      </c>
    </row>
    <row r="13" spans="1:26" x14ac:dyDescent="0.25">
      <c r="D13" s="28">
        <v>104</v>
      </c>
      <c r="E13" s="27">
        <v>10</v>
      </c>
      <c r="O13">
        <v>102.16956083864866</v>
      </c>
    </row>
    <row r="14" spans="1:26" x14ac:dyDescent="0.25">
      <c r="A14" t="s">
        <v>499</v>
      </c>
      <c r="D14" s="28">
        <v>106</v>
      </c>
      <c r="E14" s="27">
        <v>9</v>
      </c>
      <c r="O14">
        <v>99.525498214667181</v>
      </c>
    </row>
    <row r="15" spans="1:26" x14ac:dyDescent="0.25">
      <c r="A15" t="s">
        <v>63</v>
      </c>
      <c r="B15">
        <f>B11</f>
        <v>100</v>
      </c>
      <c r="D15" s="28">
        <v>108</v>
      </c>
      <c r="E15" s="27">
        <v>5</v>
      </c>
      <c r="O15">
        <v>101.43327127903076</v>
      </c>
    </row>
    <row r="16" spans="1:26" x14ac:dyDescent="0.25">
      <c r="A16" t="s">
        <v>66</v>
      </c>
      <c r="B16">
        <f>B12/SQRT(B6)</f>
        <v>4.0824829046386304</v>
      </c>
      <c r="D16" s="28">
        <v>110</v>
      </c>
      <c r="E16" s="27">
        <v>3</v>
      </c>
      <c r="O16">
        <v>97.352214117862474</v>
      </c>
    </row>
    <row r="17" spans="1:15" ht="15.75" thickBot="1" x14ac:dyDescent="0.3">
      <c r="D17" s="30" t="s">
        <v>111</v>
      </c>
      <c r="E17" s="30">
        <v>0</v>
      </c>
      <c r="O17">
        <v>97.96337778862879</v>
      </c>
    </row>
    <row r="18" spans="1:15" x14ac:dyDescent="0.25">
      <c r="O18">
        <v>101.13895077364423</v>
      </c>
    </row>
    <row r="19" spans="1:15" ht="15.75" thickBot="1" x14ac:dyDescent="0.3">
      <c r="O19">
        <v>98.240058595538159</v>
      </c>
    </row>
    <row r="20" spans="1:15" x14ac:dyDescent="0.25">
      <c r="A20" t="s">
        <v>500</v>
      </c>
      <c r="D20" s="178" t="s">
        <v>110</v>
      </c>
      <c r="E20" s="178" t="s">
        <v>106</v>
      </c>
      <c r="O20">
        <v>98.090823084200565</v>
      </c>
    </row>
    <row r="21" spans="1:15" x14ac:dyDescent="0.25">
      <c r="D21" s="28">
        <v>0.24</v>
      </c>
      <c r="E21" s="27">
        <v>0</v>
      </c>
      <c r="O21">
        <v>95.966063417462664</v>
      </c>
    </row>
    <row r="22" spans="1:15" x14ac:dyDescent="0.25">
      <c r="A22" t="s">
        <v>496</v>
      </c>
      <c r="B22">
        <v>100</v>
      </c>
      <c r="D22" s="28">
        <v>0.26</v>
      </c>
      <c r="E22" s="27">
        <v>0</v>
      </c>
      <c r="O22">
        <v>105.39255958738977</v>
      </c>
    </row>
    <row r="23" spans="1:15" x14ac:dyDescent="0.25">
      <c r="A23" t="s">
        <v>497</v>
      </c>
      <c r="B23">
        <v>50</v>
      </c>
      <c r="D23" s="28">
        <v>0.28000000000000003</v>
      </c>
      <c r="E23" s="27">
        <v>3</v>
      </c>
      <c r="O23">
        <v>101.95379497665331</v>
      </c>
    </row>
    <row r="24" spans="1:15" x14ac:dyDescent="0.25">
      <c r="A24" t="s">
        <v>63</v>
      </c>
      <c r="B24">
        <f>AVERAGE('Poisson Sample'!A54:CV54)</f>
        <v>0.49740000000000018</v>
      </c>
      <c r="D24" s="28">
        <v>0.30000000000000004</v>
      </c>
      <c r="E24" s="27">
        <v>1</v>
      </c>
      <c r="O24">
        <v>95.755058442945653</v>
      </c>
    </row>
    <row r="25" spans="1:15" x14ac:dyDescent="0.25">
      <c r="A25" t="s">
        <v>199</v>
      </c>
      <c r="B25">
        <f>STDEV('Poisson Sample'!A54:CV54)</f>
        <v>0.10778410894660619</v>
      </c>
      <c r="D25" s="28">
        <v>0.32000000000000006</v>
      </c>
      <c r="E25" s="27">
        <v>3</v>
      </c>
      <c r="O25">
        <v>105.87737662892542</v>
      </c>
    </row>
    <row r="26" spans="1:15" x14ac:dyDescent="0.25">
      <c r="D26" s="28">
        <v>0.34000000000000008</v>
      </c>
      <c r="E26" s="27">
        <v>0</v>
      </c>
      <c r="O26">
        <v>100.98654133732109</v>
      </c>
    </row>
    <row r="27" spans="1:15" x14ac:dyDescent="0.25">
      <c r="A27" t="s">
        <v>498</v>
      </c>
      <c r="D27" s="28">
        <v>0.3600000000000001</v>
      </c>
      <c r="E27" s="27">
        <v>3</v>
      </c>
      <c r="O27">
        <v>103.07559434797204</v>
      </c>
    </row>
    <row r="28" spans="1:15" x14ac:dyDescent="0.25">
      <c r="A28" t="s">
        <v>63</v>
      </c>
      <c r="B28">
        <f>0.5</f>
        <v>0.5</v>
      </c>
      <c r="D28" s="28">
        <v>0.38000000000000012</v>
      </c>
      <c r="E28" s="27">
        <v>5</v>
      </c>
      <c r="O28">
        <v>99.0314035462508</v>
      </c>
    </row>
    <row r="29" spans="1:15" x14ac:dyDescent="0.25">
      <c r="A29" t="s">
        <v>66</v>
      </c>
      <c r="B29">
        <f>SQRT(0.5)</f>
        <v>0.70710678118654757</v>
      </c>
      <c r="D29" s="28">
        <v>0.40000000000000013</v>
      </c>
      <c r="E29" s="27">
        <v>5</v>
      </c>
      <c r="O29">
        <v>101.07046723838006</v>
      </c>
    </row>
    <row r="30" spans="1:15" x14ac:dyDescent="0.25">
      <c r="D30" s="28">
        <v>0.42000000000000015</v>
      </c>
      <c r="E30" s="27">
        <v>6</v>
      </c>
      <c r="O30">
        <v>99.502426221503342</v>
      </c>
    </row>
    <row r="31" spans="1:15" x14ac:dyDescent="0.25">
      <c r="A31" t="s">
        <v>499</v>
      </c>
      <c r="D31" s="28">
        <v>0.44000000000000017</v>
      </c>
      <c r="E31" s="27">
        <v>7</v>
      </c>
      <c r="O31">
        <v>99.745292519913335</v>
      </c>
    </row>
    <row r="32" spans="1:15" x14ac:dyDescent="0.25">
      <c r="A32" t="s">
        <v>63</v>
      </c>
      <c r="B32">
        <f>B28</f>
        <v>0.5</v>
      </c>
      <c r="D32" s="28">
        <v>0.46000000000000019</v>
      </c>
      <c r="E32" s="27">
        <v>14</v>
      </c>
      <c r="O32">
        <v>100.84359263893552</v>
      </c>
    </row>
    <row r="33" spans="1:15" x14ac:dyDescent="0.25">
      <c r="A33" t="s">
        <v>66</v>
      </c>
      <c r="B33">
        <f>B29/SQRT(B23)</f>
        <v>0.1</v>
      </c>
      <c r="D33" s="28">
        <v>0.4800000000000002</v>
      </c>
      <c r="E33" s="27">
        <v>6</v>
      </c>
      <c r="O33">
        <v>100.73775444807278</v>
      </c>
    </row>
    <row r="34" spans="1:15" x14ac:dyDescent="0.25">
      <c r="D34" s="28">
        <v>0.50000000000000022</v>
      </c>
      <c r="E34" s="27">
        <v>3</v>
      </c>
      <c r="O34">
        <v>105.47941526535844</v>
      </c>
    </row>
    <row r="35" spans="1:15" x14ac:dyDescent="0.25">
      <c r="D35" s="28">
        <v>0.52000000000000024</v>
      </c>
      <c r="E35" s="27">
        <v>8</v>
      </c>
      <c r="O35">
        <v>108.01391644032104</v>
      </c>
    </row>
    <row r="36" spans="1:15" x14ac:dyDescent="0.25">
      <c r="D36" s="28">
        <v>0.54000000000000026</v>
      </c>
      <c r="E36" s="27">
        <v>5</v>
      </c>
      <c r="O36">
        <v>98.044129764702248</v>
      </c>
    </row>
    <row r="37" spans="1:15" x14ac:dyDescent="0.25">
      <c r="D37" s="28">
        <v>0.56000000000000028</v>
      </c>
      <c r="E37" s="27">
        <v>5</v>
      </c>
      <c r="O37">
        <v>101.31553086947237</v>
      </c>
    </row>
    <row r="38" spans="1:15" x14ac:dyDescent="0.25">
      <c r="D38" s="28">
        <v>0.58000000000000029</v>
      </c>
      <c r="E38" s="27">
        <v>5</v>
      </c>
      <c r="O38">
        <v>98.62215033417769</v>
      </c>
    </row>
    <row r="39" spans="1:15" x14ac:dyDescent="0.25">
      <c r="D39" s="28">
        <v>0.60000000000000031</v>
      </c>
      <c r="E39" s="27">
        <v>5</v>
      </c>
      <c r="O39">
        <v>101.71129490035707</v>
      </c>
    </row>
    <row r="40" spans="1:15" x14ac:dyDescent="0.25">
      <c r="D40" s="28">
        <v>0.62000000000000033</v>
      </c>
      <c r="E40" s="27">
        <v>5</v>
      </c>
      <c r="O40">
        <v>98.298104800561561</v>
      </c>
    </row>
    <row r="41" spans="1:15" x14ac:dyDescent="0.25">
      <c r="D41" s="28">
        <v>0.64000000000000035</v>
      </c>
      <c r="E41" s="27">
        <v>3</v>
      </c>
      <c r="O41">
        <v>98.332468642231547</v>
      </c>
    </row>
    <row r="42" spans="1:15" x14ac:dyDescent="0.25">
      <c r="D42" s="28">
        <v>0.66000000000000036</v>
      </c>
      <c r="E42" s="27">
        <v>3</v>
      </c>
      <c r="O42">
        <v>98.770958586382662</v>
      </c>
    </row>
    <row r="43" spans="1:15" x14ac:dyDescent="0.25">
      <c r="D43" s="28">
        <v>0.68000000000000038</v>
      </c>
      <c r="E43" s="27">
        <v>0</v>
      </c>
      <c r="O43">
        <v>108.04815820795311</v>
      </c>
    </row>
    <row r="44" spans="1:15" ht="15.75" thickBot="1" x14ac:dyDescent="0.3">
      <c r="D44" s="30" t="s">
        <v>111</v>
      </c>
      <c r="E44" s="30">
        <v>5</v>
      </c>
      <c r="O44">
        <v>105.79149754325999</v>
      </c>
    </row>
    <row r="45" spans="1:15" x14ac:dyDescent="0.25">
      <c r="O45">
        <v>93.790643024994679</v>
      </c>
    </row>
    <row r="46" spans="1:15" x14ac:dyDescent="0.25">
      <c r="O46">
        <v>98.249153111362048</v>
      </c>
    </row>
    <row r="47" spans="1:15" x14ac:dyDescent="0.25">
      <c r="O47">
        <v>93.061922055726811</v>
      </c>
    </row>
    <row r="48" spans="1:15" x14ac:dyDescent="0.25">
      <c r="O48">
        <v>105.37754448072754</v>
      </c>
    </row>
    <row r="49" spans="15:15" x14ac:dyDescent="0.25">
      <c r="O49">
        <v>106.21393475142669</v>
      </c>
    </row>
    <row r="50" spans="15:15" x14ac:dyDescent="0.25">
      <c r="O50">
        <v>98.222663045136869</v>
      </c>
    </row>
    <row r="51" spans="15:15" x14ac:dyDescent="0.25">
      <c r="O51">
        <v>101.04788354136787</v>
      </c>
    </row>
    <row r="52" spans="15:15" x14ac:dyDescent="0.25">
      <c r="O52">
        <v>98.803430280465093</v>
      </c>
    </row>
    <row r="53" spans="15:15" x14ac:dyDescent="0.25">
      <c r="O53">
        <v>99.794122135074943</v>
      </c>
    </row>
    <row r="54" spans="15:15" x14ac:dyDescent="0.25">
      <c r="O54">
        <v>102.74916837061677</v>
      </c>
    </row>
    <row r="55" spans="15:15" x14ac:dyDescent="0.25">
      <c r="O55">
        <v>106.92818994720299</v>
      </c>
    </row>
    <row r="56" spans="15:15" x14ac:dyDescent="0.25">
      <c r="O56">
        <v>96.999664296395792</v>
      </c>
    </row>
    <row r="57" spans="15:15" x14ac:dyDescent="0.25">
      <c r="O57">
        <v>99.740409558397147</v>
      </c>
    </row>
    <row r="58" spans="15:15" x14ac:dyDescent="0.25">
      <c r="O58">
        <v>98.310495315408758</v>
      </c>
    </row>
    <row r="59" spans="15:15" x14ac:dyDescent="0.25">
      <c r="O59">
        <v>101.2357554857021</v>
      </c>
    </row>
    <row r="60" spans="15:15" x14ac:dyDescent="0.25">
      <c r="O60">
        <v>99.512619403668324</v>
      </c>
    </row>
    <row r="61" spans="15:15" x14ac:dyDescent="0.25">
      <c r="O61">
        <v>92.649739066743933</v>
      </c>
    </row>
    <row r="62" spans="15:15" x14ac:dyDescent="0.25">
      <c r="O62">
        <v>95.96594134342476</v>
      </c>
    </row>
    <row r="63" spans="15:15" x14ac:dyDescent="0.25">
      <c r="O63">
        <v>105.94152653584402</v>
      </c>
    </row>
    <row r="64" spans="15:15" x14ac:dyDescent="0.25">
      <c r="O64">
        <v>99.921201208532949</v>
      </c>
    </row>
    <row r="65" spans="15:15" x14ac:dyDescent="0.25">
      <c r="O65">
        <v>97.23111667226172</v>
      </c>
    </row>
    <row r="66" spans="15:15" x14ac:dyDescent="0.25">
      <c r="O66">
        <v>100.65230262153995</v>
      </c>
    </row>
    <row r="67" spans="15:15" x14ac:dyDescent="0.25">
      <c r="O67">
        <v>103.03964354380931</v>
      </c>
    </row>
    <row r="68" spans="15:15" x14ac:dyDescent="0.25">
      <c r="O68">
        <v>101.81939146092104</v>
      </c>
    </row>
    <row r="69" spans="15:15" x14ac:dyDescent="0.25">
      <c r="O69">
        <v>99.963316751609824</v>
      </c>
    </row>
    <row r="70" spans="15:15" x14ac:dyDescent="0.25">
      <c r="O70">
        <v>107.15207373271888</v>
      </c>
    </row>
    <row r="71" spans="15:15" x14ac:dyDescent="0.25">
      <c r="O71">
        <v>109.52122562334054</v>
      </c>
    </row>
    <row r="72" spans="15:15" x14ac:dyDescent="0.25">
      <c r="O72">
        <v>96.224250007629621</v>
      </c>
    </row>
    <row r="73" spans="15:15" x14ac:dyDescent="0.25">
      <c r="O73">
        <v>105.83526108584857</v>
      </c>
    </row>
    <row r="74" spans="15:15" x14ac:dyDescent="0.25">
      <c r="O74">
        <v>92.376903592028569</v>
      </c>
    </row>
    <row r="75" spans="15:15" x14ac:dyDescent="0.25">
      <c r="O75">
        <v>99.017548142948712</v>
      </c>
    </row>
    <row r="76" spans="15:15" x14ac:dyDescent="0.25">
      <c r="O76">
        <v>101.13150425733205</v>
      </c>
    </row>
    <row r="77" spans="15:15" x14ac:dyDescent="0.25">
      <c r="O77">
        <v>102.18402661214026</v>
      </c>
    </row>
    <row r="78" spans="15:15" x14ac:dyDescent="0.25">
      <c r="O78">
        <v>100.34900967436748</v>
      </c>
    </row>
    <row r="79" spans="15:15" x14ac:dyDescent="0.25">
      <c r="O79">
        <v>107.36783959471418</v>
      </c>
    </row>
    <row r="80" spans="15:15" x14ac:dyDescent="0.25">
      <c r="O80">
        <v>107.32352671895504</v>
      </c>
    </row>
    <row r="81" spans="15:15" x14ac:dyDescent="0.25">
      <c r="O81">
        <v>99.763359477523096</v>
      </c>
    </row>
    <row r="82" spans="15:15" x14ac:dyDescent="0.25">
      <c r="O82">
        <v>89.495345927304911</v>
      </c>
    </row>
    <row r="83" spans="15:15" x14ac:dyDescent="0.25">
      <c r="O83">
        <v>105.21823786126282</v>
      </c>
    </row>
    <row r="84" spans="15:15" x14ac:dyDescent="0.25">
      <c r="O84">
        <v>99.066133610034498</v>
      </c>
    </row>
    <row r="85" spans="15:15" x14ac:dyDescent="0.25">
      <c r="O85">
        <v>97.162022766808093</v>
      </c>
    </row>
    <row r="86" spans="15:15" x14ac:dyDescent="0.25">
      <c r="O86">
        <v>103.89782403027442</v>
      </c>
    </row>
    <row r="87" spans="15:15" x14ac:dyDescent="0.25">
      <c r="O87">
        <v>100.78933072908721</v>
      </c>
    </row>
    <row r="88" spans="15:15" x14ac:dyDescent="0.25">
      <c r="O88">
        <v>90.308297982726543</v>
      </c>
    </row>
    <row r="89" spans="15:15" x14ac:dyDescent="0.25">
      <c r="O89">
        <v>98.697347941526516</v>
      </c>
    </row>
    <row r="90" spans="15:15" x14ac:dyDescent="0.25">
      <c r="O90">
        <v>94.10290841395306</v>
      </c>
    </row>
    <row r="91" spans="15:15" x14ac:dyDescent="0.25">
      <c r="O91">
        <v>91.931333353679008</v>
      </c>
    </row>
    <row r="92" spans="15:15" x14ac:dyDescent="0.25">
      <c r="O92">
        <v>105.01876888332775</v>
      </c>
    </row>
    <row r="93" spans="15:15" x14ac:dyDescent="0.25">
      <c r="O93">
        <v>101.91436506241033</v>
      </c>
    </row>
    <row r="94" spans="15:15" x14ac:dyDescent="0.25">
      <c r="O94">
        <v>101.13803521835993</v>
      </c>
    </row>
    <row r="95" spans="15:15" x14ac:dyDescent="0.25">
      <c r="O95">
        <v>98.593157750175465</v>
      </c>
    </row>
    <row r="96" spans="15:15" x14ac:dyDescent="0.25">
      <c r="O96">
        <v>100.27466658528401</v>
      </c>
    </row>
    <row r="97" spans="15:15" x14ac:dyDescent="0.25">
      <c r="O97">
        <v>98.805322428052619</v>
      </c>
    </row>
    <row r="98" spans="15:15" x14ac:dyDescent="0.25">
      <c r="O98">
        <v>101.33585619678334</v>
      </c>
    </row>
    <row r="99" spans="15:15" x14ac:dyDescent="0.25">
      <c r="O99">
        <v>102.8297372356334</v>
      </c>
    </row>
    <row r="100" spans="15:15" x14ac:dyDescent="0.25">
      <c r="O100">
        <v>96.74074526200144</v>
      </c>
    </row>
    <row r="101" spans="15:15" x14ac:dyDescent="0.25">
      <c r="O101">
        <v>92.888760032960022</v>
      </c>
    </row>
    <row r="102" spans="15:15" x14ac:dyDescent="0.25">
      <c r="O102">
        <v>99.614185003204454</v>
      </c>
    </row>
  </sheetData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8"/>
  <dimension ref="A1:G28"/>
  <sheetViews>
    <sheetView zoomScaleNormal="100" workbookViewId="0"/>
  </sheetViews>
  <sheetFormatPr defaultRowHeight="15" x14ac:dyDescent="0.25"/>
  <sheetData>
    <row r="1" spans="1:7" x14ac:dyDescent="0.25">
      <c r="A1" s="1" t="s">
        <v>502</v>
      </c>
    </row>
    <row r="2" spans="1:7" x14ac:dyDescent="0.25">
      <c r="B2" s="8"/>
    </row>
    <row r="3" spans="1:7" x14ac:dyDescent="0.25">
      <c r="B3" s="164" t="s">
        <v>505</v>
      </c>
      <c r="C3" s="164" t="s">
        <v>503</v>
      </c>
      <c r="D3" s="164" t="s">
        <v>504</v>
      </c>
      <c r="F3" t="s">
        <v>63</v>
      </c>
      <c r="G3" s="154">
        <v>60</v>
      </c>
    </row>
    <row r="4" spans="1:7" x14ac:dyDescent="0.25">
      <c r="A4">
        <v>1</v>
      </c>
      <c r="B4">
        <f ca="1">RAND()</f>
        <v>0.22509107057938238</v>
      </c>
      <c r="C4">
        <f t="shared" ref="C4:C28" ca="1" si="0">NORMINV(B4,$G$3,$G$4)</f>
        <v>44.897771919432714</v>
      </c>
      <c r="D4">
        <f t="shared" ref="D4:D28" ca="1" si="1">NORMDIST(C4,$G$3,$G$4,FALSE)</f>
        <v>1.4999064852267546E-2</v>
      </c>
      <c r="F4" t="s">
        <v>199</v>
      </c>
      <c r="G4" s="163">
        <v>20</v>
      </c>
    </row>
    <row r="5" spans="1:7" x14ac:dyDescent="0.25">
      <c r="A5">
        <f>A4+1</f>
        <v>2</v>
      </c>
      <c r="B5">
        <f t="shared" ref="B5:B28" ca="1" si="2">RAND()</f>
        <v>0.67971456736511449</v>
      </c>
      <c r="C5">
        <f t="shared" ca="1" si="0"/>
        <v>69.338015654305963</v>
      </c>
      <c r="D5">
        <f t="shared" ca="1" si="1"/>
        <v>1.788721660862954E-2</v>
      </c>
      <c r="F5" t="s">
        <v>64</v>
      </c>
      <c r="G5" s="155">
        <v>25</v>
      </c>
    </row>
    <row r="6" spans="1:7" x14ac:dyDescent="0.25">
      <c r="A6">
        <f t="shared" ref="A6:A28" si="3">A5+1</f>
        <v>3</v>
      </c>
      <c r="B6">
        <f t="shared" ca="1" si="2"/>
        <v>0.26617843399584151</v>
      </c>
      <c r="C6">
        <f t="shared" ca="1" si="0"/>
        <v>47.511754568579789</v>
      </c>
      <c r="D6">
        <f t="shared" ca="1" si="1"/>
        <v>1.6414073872550426E-2</v>
      </c>
    </row>
    <row r="7" spans="1:7" x14ac:dyDescent="0.25">
      <c r="A7">
        <f t="shared" si="3"/>
        <v>4</v>
      </c>
      <c r="B7">
        <f t="shared" ca="1" si="2"/>
        <v>0.23729220483326796</v>
      </c>
      <c r="C7">
        <f t="shared" ca="1" si="0"/>
        <v>45.699202675077643</v>
      </c>
      <c r="D7">
        <f t="shared" ca="1" si="1"/>
        <v>1.5447442676130657E-2</v>
      </c>
    </row>
    <row r="8" spans="1:7" x14ac:dyDescent="0.25">
      <c r="A8">
        <f t="shared" si="3"/>
        <v>5</v>
      </c>
      <c r="B8">
        <f t="shared" ca="1" si="2"/>
        <v>0.40963984270184317</v>
      </c>
      <c r="C8">
        <f t="shared" ca="1" si="0"/>
        <v>55.43056936871006</v>
      </c>
      <c r="D8">
        <f t="shared" ca="1" si="1"/>
        <v>1.9433237083525273E-2</v>
      </c>
    </row>
    <row r="9" spans="1:7" x14ac:dyDescent="0.25">
      <c r="A9">
        <f t="shared" si="3"/>
        <v>6</v>
      </c>
      <c r="B9">
        <f t="shared" ca="1" si="2"/>
        <v>0.84653827192933973</v>
      </c>
      <c r="C9">
        <f t="shared" ca="1" si="0"/>
        <v>80.43397697579195</v>
      </c>
      <c r="D9">
        <f t="shared" ca="1" si="1"/>
        <v>1.1836052893740628E-2</v>
      </c>
    </row>
    <row r="10" spans="1:7" x14ac:dyDescent="0.25">
      <c r="A10">
        <f t="shared" si="3"/>
        <v>7</v>
      </c>
      <c r="B10">
        <f t="shared" ca="1" si="2"/>
        <v>0.98473070408872099</v>
      </c>
      <c r="C10">
        <f t="shared" ca="1" si="0"/>
        <v>103.26067293595781</v>
      </c>
      <c r="D10">
        <f t="shared" ca="1" si="1"/>
        <v>1.9226937424627263E-3</v>
      </c>
    </row>
    <row r="11" spans="1:7" x14ac:dyDescent="0.25">
      <c r="A11">
        <f t="shared" si="3"/>
        <v>8</v>
      </c>
      <c r="B11">
        <f t="shared" ca="1" si="2"/>
        <v>4.8974740705596931E-2</v>
      </c>
      <c r="C11">
        <f t="shared" ca="1" si="0"/>
        <v>26.902463035875442</v>
      </c>
      <c r="D11">
        <f t="shared" ca="1" si="1"/>
        <v>5.0722057433812582E-3</v>
      </c>
    </row>
    <row r="12" spans="1:7" x14ac:dyDescent="0.25">
      <c r="A12">
        <f t="shared" si="3"/>
        <v>9</v>
      </c>
      <c r="B12">
        <f t="shared" ca="1" si="2"/>
        <v>2.3786541202310496E-2</v>
      </c>
      <c r="C12">
        <f t="shared" ca="1" si="0"/>
        <v>20.376755223265292</v>
      </c>
      <c r="D12">
        <f t="shared" ca="1" si="1"/>
        <v>2.8026981100182295E-3</v>
      </c>
    </row>
    <row r="13" spans="1:7" x14ac:dyDescent="0.25">
      <c r="A13">
        <f t="shared" si="3"/>
        <v>10</v>
      </c>
      <c r="B13">
        <f t="shared" ca="1" si="2"/>
        <v>0.52191805033970395</v>
      </c>
      <c r="C13">
        <f t="shared" ca="1" si="0"/>
        <v>61.099361461407554</v>
      </c>
      <c r="D13">
        <f t="shared" ca="1" si="1"/>
        <v>1.9917001778385152E-2</v>
      </c>
    </row>
    <row r="14" spans="1:7" x14ac:dyDescent="0.25">
      <c r="A14">
        <f t="shared" si="3"/>
        <v>11</v>
      </c>
      <c r="B14">
        <f t="shared" ca="1" si="2"/>
        <v>0.93728944802308045</v>
      </c>
      <c r="C14">
        <f t="shared" ca="1" si="0"/>
        <v>90.64821519451263</v>
      </c>
      <c r="D14">
        <f t="shared" ca="1" si="1"/>
        <v>6.1653388830000405E-3</v>
      </c>
    </row>
    <row r="15" spans="1:7" x14ac:dyDescent="0.25">
      <c r="A15">
        <f t="shared" si="3"/>
        <v>12</v>
      </c>
      <c r="B15">
        <f t="shared" ca="1" si="2"/>
        <v>0.49121017763550101</v>
      </c>
      <c r="C15">
        <f t="shared" ca="1" si="0"/>
        <v>59.559307996178475</v>
      </c>
      <c r="D15">
        <f t="shared" ca="1" si="1"/>
        <v>1.9942272210438657E-2</v>
      </c>
    </row>
    <row r="16" spans="1:7" x14ac:dyDescent="0.25">
      <c r="A16">
        <f t="shared" si="3"/>
        <v>13</v>
      </c>
      <c r="B16">
        <f t="shared" ca="1" si="2"/>
        <v>0.56516568199745376</v>
      </c>
      <c r="C16">
        <f t="shared" ca="1" si="0"/>
        <v>63.281588061837702</v>
      </c>
      <c r="D16">
        <f t="shared" ca="1" si="1"/>
        <v>1.9680404533246314E-2</v>
      </c>
    </row>
    <row r="17" spans="1:4" x14ac:dyDescent="0.25">
      <c r="A17">
        <f t="shared" si="3"/>
        <v>14</v>
      </c>
      <c r="B17">
        <f t="shared" ca="1" si="2"/>
        <v>0.47219163267708963</v>
      </c>
      <c r="C17">
        <f t="shared" ca="1" si="0"/>
        <v>58.604764329206319</v>
      </c>
      <c r="D17">
        <f t="shared" ca="1" si="1"/>
        <v>1.9898634653547593E-2</v>
      </c>
    </row>
    <row r="18" spans="1:4" x14ac:dyDescent="0.25">
      <c r="A18">
        <f t="shared" si="3"/>
        <v>15</v>
      </c>
      <c r="B18">
        <f t="shared" ca="1" si="2"/>
        <v>0.91230235401304094</v>
      </c>
      <c r="C18">
        <f t="shared" ca="1" si="0"/>
        <v>87.101397725967473</v>
      </c>
      <c r="D18">
        <f t="shared" ca="1" si="1"/>
        <v>7.9643654575911431E-3</v>
      </c>
    </row>
    <row r="19" spans="1:4" x14ac:dyDescent="0.25">
      <c r="A19">
        <f t="shared" si="3"/>
        <v>16</v>
      </c>
      <c r="B19">
        <f t="shared" ca="1" si="2"/>
        <v>0.33969087387826824</v>
      </c>
      <c r="C19">
        <f t="shared" ca="1" si="0"/>
        <v>51.733861251893714</v>
      </c>
      <c r="D19">
        <f t="shared" ca="1" si="1"/>
        <v>1.8314134888312551E-2</v>
      </c>
    </row>
    <row r="20" spans="1:4" x14ac:dyDescent="0.25">
      <c r="A20">
        <f t="shared" si="3"/>
        <v>17</v>
      </c>
      <c r="B20">
        <f t="shared" ca="1" si="2"/>
        <v>0.74148102844848274</v>
      </c>
      <c r="C20">
        <f t="shared" ca="1" si="0"/>
        <v>72.958361386783579</v>
      </c>
      <c r="D20">
        <f t="shared" ca="1" si="1"/>
        <v>1.6170450928507878E-2</v>
      </c>
    </row>
    <row r="21" spans="1:4" x14ac:dyDescent="0.25">
      <c r="A21">
        <f t="shared" si="3"/>
        <v>18</v>
      </c>
      <c r="B21">
        <f t="shared" ca="1" si="2"/>
        <v>0.45767120849857412</v>
      </c>
      <c r="C21">
        <f t="shared" ca="1" si="0"/>
        <v>57.873951736320521</v>
      </c>
      <c r="D21">
        <f t="shared" ca="1" si="1"/>
        <v>1.9834728594252185E-2</v>
      </c>
    </row>
    <row r="22" spans="1:4" x14ac:dyDescent="0.25">
      <c r="A22">
        <f t="shared" si="3"/>
        <v>19</v>
      </c>
      <c r="B22">
        <f t="shared" ca="1" si="2"/>
        <v>0.81709330130564595</v>
      </c>
      <c r="C22">
        <f t="shared" ca="1" si="0"/>
        <v>78.086865852410398</v>
      </c>
      <c r="D22">
        <f t="shared" ca="1" si="1"/>
        <v>1.3252233135633857E-2</v>
      </c>
    </row>
    <row r="23" spans="1:4" x14ac:dyDescent="0.25">
      <c r="A23">
        <f t="shared" si="3"/>
        <v>20</v>
      </c>
      <c r="B23">
        <f t="shared" ca="1" si="2"/>
        <v>0.93246860094034323</v>
      </c>
      <c r="C23">
        <f t="shared" ca="1" si="0"/>
        <v>89.888635769254364</v>
      </c>
      <c r="D23">
        <f t="shared" ca="1" si="1"/>
        <v>6.530093665367053E-3</v>
      </c>
    </row>
    <row r="24" spans="1:4" x14ac:dyDescent="0.25">
      <c r="A24">
        <f t="shared" si="3"/>
        <v>21</v>
      </c>
      <c r="B24">
        <f t="shared" ca="1" si="2"/>
        <v>0.65856347449885044</v>
      </c>
      <c r="C24">
        <f t="shared" ca="1" si="0"/>
        <v>68.170914965277902</v>
      </c>
      <c r="D24">
        <f t="shared" ca="1" si="1"/>
        <v>1.8350001532420328E-2</v>
      </c>
    </row>
    <row r="25" spans="1:4" x14ac:dyDescent="0.25">
      <c r="A25">
        <f t="shared" si="3"/>
        <v>22</v>
      </c>
      <c r="B25">
        <f t="shared" ca="1" si="2"/>
        <v>0.44576393392046676</v>
      </c>
      <c r="C25">
        <f t="shared" ca="1" si="0"/>
        <v>57.272576703699613</v>
      </c>
      <c r="D25">
        <f t="shared" ca="1" si="1"/>
        <v>1.9762494513760415E-2</v>
      </c>
    </row>
    <row r="26" spans="1:4" x14ac:dyDescent="0.25">
      <c r="A26">
        <f t="shared" si="3"/>
        <v>23</v>
      </c>
      <c r="B26">
        <f t="shared" ca="1" si="2"/>
        <v>0.73192058759570733</v>
      </c>
      <c r="C26">
        <f t="shared" ca="1" si="0"/>
        <v>72.372639733489819</v>
      </c>
      <c r="D26">
        <f t="shared" ca="1" si="1"/>
        <v>1.6473148715459483E-2</v>
      </c>
    </row>
    <row r="27" spans="1:4" x14ac:dyDescent="0.25">
      <c r="A27">
        <f t="shared" si="3"/>
        <v>24</v>
      </c>
      <c r="B27">
        <f t="shared" ca="1" si="2"/>
        <v>0.23236027144183924</v>
      </c>
      <c r="C27">
        <f t="shared" ca="1" si="0"/>
        <v>45.378080835056089</v>
      </c>
      <c r="D27">
        <f t="shared" ca="1" si="1"/>
        <v>1.5269140367636987E-2</v>
      </c>
    </row>
    <row r="28" spans="1:4" x14ac:dyDescent="0.25">
      <c r="A28" s="149">
        <f t="shared" si="3"/>
        <v>25</v>
      </c>
      <c r="B28" s="149">
        <f t="shared" ca="1" si="2"/>
        <v>0.11828726962125302</v>
      </c>
      <c r="C28" s="149">
        <f t="shared" ca="1" si="0"/>
        <v>36.328156491271969</v>
      </c>
      <c r="D28" s="149">
        <f t="shared" ca="1" si="1"/>
        <v>9.901034566490538E-3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/>
  <dimension ref="A1:O23"/>
  <sheetViews>
    <sheetView workbookViewId="0"/>
  </sheetViews>
  <sheetFormatPr defaultRowHeight="15" x14ac:dyDescent="0.25"/>
  <cols>
    <col min="2" max="2" width="9.140625" style="495"/>
    <col min="10" max="10" width="9.140625" style="495"/>
  </cols>
  <sheetData>
    <row r="1" spans="1:15" x14ac:dyDescent="0.25">
      <c r="A1" s="1" t="s">
        <v>1386</v>
      </c>
    </row>
    <row r="3" spans="1:15" x14ac:dyDescent="0.25">
      <c r="B3" s="495" t="s">
        <v>1387</v>
      </c>
      <c r="D3" s="495" t="s">
        <v>1388</v>
      </c>
      <c r="E3" s="495" t="s">
        <v>419</v>
      </c>
      <c r="H3" s="502" t="s">
        <v>1389</v>
      </c>
      <c r="J3" s="495" t="s">
        <v>1390</v>
      </c>
      <c r="L3" s="495" t="s">
        <v>1388</v>
      </c>
      <c r="M3" s="495" t="s">
        <v>419</v>
      </c>
      <c r="O3" s="495" t="s">
        <v>1391</v>
      </c>
    </row>
    <row r="4" spans="1:15" x14ac:dyDescent="0.25">
      <c r="A4">
        <v>1</v>
      </c>
      <c r="B4" s="488" t="b">
        <f>_xll.RANDOM(1,4,TRUE)</f>
        <v>0</v>
      </c>
      <c r="C4">
        <v>1</v>
      </c>
      <c r="D4" s="415">
        <f>COUNTIF($B$4:$B$23,C4)</f>
        <v>0</v>
      </c>
      <c r="E4" s="499">
        <f>D4/A$23</f>
        <v>0</v>
      </c>
      <c r="G4">
        <v>1</v>
      </c>
      <c r="H4" s="488">
        <v>50</v>
      </c>
      <c r="I4">
        <v>1</v>
      </c>
      <c r="J4" s="488" t="e">
        <f ca="1">WRAND($H$4:$H$7)</f>
        <v>#NAME?</v>
      </c>
      <c r="K4">
        <v>1</v>
      </c>
      <c r="L4" s="415">
        <f ca="1">COUNTIF($J$4:$J$23,K4)</f>
        <v>0</v>
      </c>
      <c r="M4" s="499">
        <f ca="1">L4/I$23</f>
        <v>0</v>
      </c>
      <c r="O4" s="488" t="e">
        <f t="array" aca="1" ref="O4:O5" ca="1">WRANDOM(H4:H7,FALSE)</f>
        <v>#NAME?</v>
      </c>
    </row>
    <row r="5" spans="1:15" x14ac:dyDescent="0.25">
      <c r="A5">
        <f>A4+1</f>
        <v>2</v>
      </c>
      <c r="B5" s="195" t="b">
        <f>_xll.RANDOM(1,4,TRUE)</f>
        <v>0</v>
      </c>
      <c r="C5">
        <v>2</v>
      </c>
      <c r="D5" s="169">
        <f>COUNTIF($B$4:$B$23,C5)</f>
        <v>0</v>
      </c>
      <c r="E5" s="500">
        <f>D5/A$23</f>
        <v>0</v>
      </c>
      <c r="G5">
        <v>2</v>
      </c>
      <c r="H5" s="195">
        <v>10</v>
      </c>
      <c r="I5">
        <f>I4+1</f>
        <v>2</v>
      </c>
      <c r="J5" s="195" t="e">
        <f ca="1">WRAND($H$4:$H$7)</f>
        <v>#NAME?</v>
      </c>
      <c r="K5">
        <v>2</v>
      </c>
      <c r="L5" s="169">
        <f ca="1">COUNTIF($J$4:$J$23,K5)</f>
        <v>0</v>
      </c>
      <c r="M5" s="500">
        <f ca="1">L5/I$23</f>
        <v>0</v>
      </c>
      <c r="O5" s="194" t="e">
        <f ca="1"/>
        <v>#NAME?</v>
      </c>
    </row>
    <row r="6" spans="1:15" x14ac:dyDescent="0.25">
      <c r="A6">
        <f t="shared" ref="A6:A23" si="0">A5+1</f>
        <v>3</v>
      </c>
      <c r="B6" s="195" t="b">
        <f>_xll.RANDOM(1,4,TRUE)</f>
        <v>0</v>
      </c>
      <c r="C6">
        <v>3</v>
      </c>
      <c r="D6" s="169">
        <f>COUNTIF($B$4:$B$23,C6)</f>
        <v>0</v>
      </c>
      <c r="E6" s="500">
        <f>D6/A$23</f>
        <v>0</v>
      </c>
      <c r="G6">
        <v>3</v>
      </c>
      <c r="H6" s="195">
        <v>20</v>
      </c>
      <c r="I6">
        <f t="shared" ref="I6:I23" si="1">I5+1</f>
        <v>3</v>
      </c>
      <c r="J6" s="195" t="e">
        <f ca="1">WRAND($H$4:$H$7)</f>
        <v>#NAME?</v>
      </c>
      <c r="K6">
        <v>3</v>
      </c>
      <c r="L6" s="169">
        <f ca="1">COUNTIF($J$4:$J$23,K6)</f>
        <v>0</v>
      </c>
      <c r="M6" s="500">
        <f ca="1">L6/I$23</f>
        <v>0</v>
      </c>
    </row>
    <row r="7" spans="1:15" x14ac:dyDescent="0.25">
      <c r="A7">
        <f t="shared" si="0"/>
        <v>4</v>
      </c>
      <c r="B7" s="195" t="b">
        <f>_xll.RANDOM(1,4,TRUE)</f>
        <v>0</v>
      </c>
      <c r="C7">
        <v>4</v>
      </c>
      <c r="D7" s="157">
        <f>COUNTIF($B$4:$B$23,C7)</f>
        <v>0</v>
      </c>
      <c r="E7" s="501">
        <f>D7/A$23</f>
        <v>0</v>
      </c>
      <c r="G7">
        <v>4</v>
      </c>
      <c r="H7" s="194">
        <v>20</v>
      </c>
      <c r="I7">
        <f t="shared" si="1"/>
        <v>4</v>
      </c>
      <c r="J7" s="195" t="e">
        <f ca="1">WRAND($H$4:$H$7)</f>
        <v>#NAME?</v>
      </c>
      <c r="K7">
        <v>4</v>
      </c>
      <c r="L7" s="157">
        <f ca="1">COUNTIF($J$4:$J$23,K7)</f>
        <v>0</v>
      </c>
      <c r="M7" s="501">
        <f ca="1">L7/I$23</f>
        <v>0</v>
      </c>
    </row>
    <row r="8" spans="1:15" x14ac:dyDescent="0.25">
      <c r="A8">
        <f t="shared" si="0"/>
        <v>5</v>
      </c>
      <c r="B8" s="195" t="b">
        <f>_xll.RANDOM(1,4,TRUE)</f>
        <v>0</v>
      </c>
      <c r="I8">
        <f t="shared" si="1"/>
        <v>5</v>
      </c>
      <c r="J8" s="195" t="e">
        <f ca="1">WRAND($H$4:$H$7)</f>
        <v>#NAME?</v>
      </c>
    </row>
    <row r="9" spans="1:15" x14ac:dyDescent="0.25">
      <c r="A9">
        <f t="shared" si="0"/>
        <v>6</v>
      </c>
      <c r="B9" s="195" t="b">
        <f>_xll.RANDOM(1,4,TRUE)</f>
        <v>0</v>
      </c>
      <c r="I9">
        <f t="shared" si="1"/>
        <v>6</v>
      </c>
      <c r="J9" s="195" t="e">
        <f ca="1">WRAND($H$4:$H$7)</f>
        <v>#NAME?</v>
      </c>
    </row>
    <row r="10" spans="1:15" x14ac:dyDescent="0.25">
      <c r="A10">
        <f t="shared" si="0"/>
        <v>7</v>
      </c>
      <c r="B10" s="195" t="b">
        <f>_xll.RANDOM(1,4,TRUE)</f>
        <v>0</v>
      </c>
      <c r="I10">
        <f t="shared" si="1"/>
        <v>7</v>
      </c>
      <c r="J10" s="195" t="e">
        <f ca="1">WRAND($H$4:$H$7)</f>
        <v>#NAME?</v>
      </c>
    </row>
    <row r="11" spans="1:15" x14ac:dyDescent="0.25">
      <c r="A11">
        <f t="shared" si="0"/>
        <v>8</v>
      </c>
      <c r="B11" s="195" t="b">
        <f>_xll.RANDOM(1,4,TRUE)</f>
        <v>0</v>
      </c>
      <c r="I11">
        <f t="shared" si="1"/>
        <v>8</v>
      </c>
      <c r="J11" s="195" t="e">
        <f ca="1">WRAND($H$4:$H$7)</f>
        <v>#NAME?</v>
      </c>
    </row>
    <row r="12" spans="1:15" x14ac:dyDescent="0.25">
      <c r="A12">
        <f t="shared" si="0"/>
        <v>9</v>
      </c>
      <c r="B12" s="195" t="b">
        <f>_xll.RANDOM(1,4,TRUE)</f>
        <v>0</v>
      </c>
      <c r="I12">
        <f t="shared" si="1"/>
        <v>9</v>
      </c>
      <c r="J12" s="195" t="e">
        <f ca="1">WRAND($H$4:$H$7)</f>
        <v>#NAME?</v>
      </c>
    </row>
    <row r="13" spans="1:15" x14ac:dyDescent="0.25">
      <c r="A13">
        <f t="shared" si="0"/>
        <v>10</v>
      </c>
      <c r="B13" s="195" t="b">
        <f>_xll.RANDOM(1,4,TRUE)</f>
        <v>0</v>
      </c>
      <c r="I13">
        <f t="shared" si="1"/>
        <v>10</v>
      </c>
      <c r="J13" s="195" t="e">
        <f ca="1">WRAND($H$4:$H$7)</f>
        <v>#NAME?</v>
      </c>
    </row>
    <row r="14" spans="1:15" x14ac:dyDescent="0.25">
      <c r="A14">
        <f t="shared" si="0"/>
        <v>11</v>
      </c>
      <c r="B14" s="195" t="b">
        <f>_xll.RANDOM(1,4,TRUE)</f>
        <v>0</v>
      </c>
      <c r="I14">
        <f t="shared" si="1"/>
        <v>11</v>
      </c>
      <c r="J14" s="195" t="e">
        <f ca="1">WRAND($H$4:$H$7)</f>
        <v>#NAME?</v>
      </c>
    </row>
    <row r="15" spans="1:15" x14ac:dyDescent="0.25">
      <c r="A15">
        <f t="shared" si="0"/>
        <v>12</v>
      </c>
      <c r="B15" s="195" t="b">
        <f>_xll.RANDOM(1,4,TRUE)</f>
        <v>0</v>
      </c>
      <c r="I15">
        <f t="shared" si="1"/>
        <v>12</v>
      </c>
      <c r="J15" s="195" t="e">
        <f ca="1">WRAND($H$4:$H$7)</f>
        <v>#NAME?</v>
      </c>
    </row>
    <row r="16" spans="1:15" x14ac:dyDescent="0.25">
      <c r="A16">
        <f t="shared" si="0"/>
        <v>13</v>
      </c>
      <c r="B16" s="195" t="b">
        <f>_xll.RANDOM(1,4,TRUE)</f>
        <v>0</v>
      </c>
      <c r="I16">
        <f t="shared" si="1"/>
        <v>13</v>
      </c>
      <c r="J16" s="195" t="e">
        <f ca="1">WRAND($H$4:$H$7)</f>
        <v>#NAME?</v>
      </c>
    </row>
    <row r="17" spans="1:10" x14ac:dyDescent="0.25">
      <c r="A17">
        <f t="shared" si="0"/>
        <v>14</v>
      </c>
      <c r="B17" s="195" t="b">
        <f>_xll.RANDOM(1,4,TRUE)</f>
        <v>0</v>
      </c>
      <c r="I17">
        <f t="shared" si="1"/>
        <v>14</v>
      </c>
      <c r="J17" s="195" t="e">
        <f ca="1">WRAND($H$4:$H$7)</f>
        <v>#NAME?</v>
      </c>
    </row>
    <row r="18" spans="1:10" x14ac:dyDescent="0.25">
      <c r="A18">
        <f t="shared" si="0"/>
        <v>15</v>
      </c>
      <c r="B18" s="195" t="b">
        <f>_xll.RANDOM(1,4,TRUE)</f>
        <v>0</v>
      </c>
      <c r="I18">
        <f t="shared" si="1"/>
        <v>15</v>
      </c>
      <c r="J18" s="195" t="e">
        <f ca="1">WRAND($H$4:$H$7)</f>
        <v>#NAME?</v>
      </c>
    </row>
    <row r="19" spans="1:10" x14ac:dyDescent="0.25">
      <c r="A19">
        <f t="shared" si="0"/>
        <v>16</v>
      </c>
      <c r="B19" s="195" t="b">
        <f>_xll.RANDOM(1,4,TRUE)</f>
        <v>0</v>
      </c>
      <c r="I19">
        <f t="shared" si="1"/>
        <v>16</v>
      </c>
      <c r="J19" s="195" t="e">
        <f ca="1">WRAND($H$4:$H$7)</f>
        <v>#NAME?</v>
      </c>
    </row>
    <row r="20" spans="1:10" x14ac:dyDescent="0.25">
      <c r="A20">
        <f t="shared" si="0"/>
        <v>17</v>
      </c>
      <c r="B20" s="195" t="b">
        <f>_xll.RANDOM(1,4,TRUE)</f>
        <v>0</v>
      </c>
      <c r="I20">
        <f t="shared" si="1"/>
        <v>17</v>
      </c>
      <c r="J20" s="195" t="e">
        <f ca="1">WRAND($H$4:$H$7)</f>
        <v>#NAME?</v>
      </c>
    </row>
    <row r="21" spans="1:10" x14ac:dyDescent="0.25">
      <c r="A21">
        <f t="shared" si="0"/>
        <v>18</v>
      </c>
      <c r="B21" s="195" t="b">
        <f>_xll.RANDOM(1,4,TRUE)</f>
        <v>0</v>
      </c>
      <c r="I21">
        <f t="shared" si="1"/>
        <v>18</v>
      </c>
      <c r="J21" s="195" t="e">
        <f ca="1">WRAND($H$4:$H$7)</f>
        <v>#NAME?</v>
      </c>
    </row>
    <row r="22" spans="1:10" x14ac:dyDescent="0.25">
      <c r="A22">
        <f t="shared" si="0"/>
        <v>19</v>
      </c>
      <c r="B22" s="195" t="b">
        <f>_xll.RANDOM(1,4,TRUE)</f>
        <v>0</v>
      </c>
      <c r="I22">
        <f t="shared" si="1"/>
        <v>19</v>
      </c>
      <c r="J22" s="195" t="e">
        <f ca="1">WRAND($H$4:$H$7)</f>
        <v>#NAME?</v>
      </c>
    </row>
    <row r="23" spans="1:10" x14ac:dyDescent="0.25">
      <c r="A23">
        <f t="shared" si="0"/>
        <v>20</v>
      </c>
      <c r="B23" s="194" t="b">
        <f>_xll.RANDOM(1,4,TRUE)</f>
        <v>0</v>
      </c>
      <c r="I23">
        <f t="shared" si="1"/>
        <v>20</v>
      </c>
      <c r="J23" s="194" t="e">
        <f ca="1">WRAND($H$4:$H$7)</f>
        <v>#NAME?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3"/>
  <dimension ref="A1:R28"/>
  <sheetViews>
    <sheetView workbookViewId="0"/>
  </sheetViews>
  <sheetFormatPr defaultRowHeight="15" x14ac:dyDescent="0.25"/>
  <sheetData>
    <row r="1" spans="1:18" x14ac:dyDescent="0.25">
      <c r="A1" s="1" t="s">
        <v>486</v>
      </c>
    </row>
    <row r="2" spans="1:18" x14ac:dyDescent="0.25">
      <c r="A2" s="1"/>
    </row>
    <row r="3" spans="1:18" x14ac:dyDescent="0.25">
      <c r="A3" s="597" t="s">
        <v>26</v>
      </c>
      <c r="B3" s="597"/>
      <c r="D3" s="592" t="s">
        <v>258</v>
      </c>
      <c r="E3" s="592"/>
      <c r="G3" t="e">
        <f ca="1">FTEXT(G5)</f>
        <v>#NAME?</v>
      </c>
      <c r="L3" t="e">
        <f ca="1">FTEXT(L5:O10)</f>
        <v>#NAME?</v>
      </c>
      <c r="R3" s="439" t="e">
        <f t="array" aca="1" ref="R3:R22" ca="1">SHUFFLE(A6:B15)</f>
        <v>#NAME?</v>
      </c>
    </row>
    <row r="4" spans="1:18" x14ac:dyDescent="0.25">
      <c r="A4" s="160"/>
      <c r="B4" s="160"/>
      <c r="R4" s="163" t="e">
        <f ca="1"/>
        <v>#NAME?</v>
      </c>
    </row>
    <row r="5" spans="1:18" x14ac:dyDescent="0.25">
      <c r="A5" s="179" t="s">
        <v>367</v>
      </c>
      <c r="B5" s="196" t="s">
        <v>368</v>
      </c>
      <c r="D5" s="193" t="s">
        <v>190</v>
      </c>
      <c r="E5" s="193" t="s">
        <v>487</v>
      </c>
      <c r="G5" s="316" t="e">
        <f t="array" aca="1" ref="G5:J10" ca="1">RANDOMIZE(A6:B15)</f>
        <v>#NAME?</v>
      </c>
      <c r="H5" s="292" t="e">
        <f ca="1"/>
        <v>#NAME?</v>
      </c>
      <c r="I5" s="292" t="e">
        <f ca="1"/>
        <v>#NAME?</v>
      </c>
      <c r="J5" s="317" t="e">
        <f ca="1"/>
        <v>#NAME?</v>
      </c>
      <c r="L5" s="316" t="e">
        <f t="array" aca="1" ref="L5:O10" ca="1">SHUFFLE(A6:B15)</f>
        <v>#NAME?</v>
      </c>
      <c r="M5" s="292" t="e">
        <f ca="1"/>
        <v>#NAME?</v>
      </c>
      <c r="N5" s="292" t="e">
        <f ca="1"/>
        <v>#NAME?</v>
      </c>
      <c r="O5" s="317" t="e">
        <f ca="1"/>
        <v>#NAME?</v>
      </c>
      <c r="R5" s="163" t="e">
        <f ca="1"/>
        <v>#NAME?</v>
      </c>
    </row>
    <row r="6" spans="1:18" x14ac:dyDescent="0.25">
      <c r="A6" s="159">
        <v>2</v>
      </c>
      <c r="B6" s="195">
        <v>1</v>
      </c>
      <c r="D6" s="194" t="s">
        <v>488</v>
      </c>
      <c r="E6" s="194" t="s">
        <v>489</v>
      </c>
      <c r="G6" s="166" t="e">
        <f ca="1"/>
        <v>#NAME?</v>
      </c>
      <c r="H6" s="8" t="e">
        <f ca="1"/>
        <v>#NAME?</v>
      </c>
      <c r="I6" s="8" t="e">
        <f ca="1"/>
        <v>#NAME?</v>
      </c>
      <c r="J6" s="167" t="e">
        <f ca="1"/>
        <v>#NAME?</v>
      </c>
      <c r="L6" s="166" t="e">
        <f ca="1"/>
        <v>#NAME?</v>
      </c>
      <c r="M6" s="8" t="e">
        <f ca="1"/>
        <v>#NAME?</v>
      </c>
      <c r="N6" s="8" t="e">
        <f ca="1"/>
        <v>#NAME?</v>
      </c>
      <c r="O6" s="167" t="e">
        <f ca="1"/>
        <v>#NAME?</v>
      </c>
      <c r="R6" s="163" t="e">
        <f ca="1"/>
        <v>#NAME?</v>
      </c>
    </row>
    <row r="7" spans="1:18" x14ac:dyDescent="0.25">
      <c r="A7" s="169">
        <v>5</v>
      </c>
      <c r="B7" s="195">
        <v>3</v>
      </c>
      <c r="D7" s="195">
        <v>17</v>
      </c>
      <c r="E7" s="195">
        <v>6</v>
      </c>
      <c r="G7" s="166" t="e">
        <f ca="1"/>
        <v>#NAME?</v>
      </c>
      <c r="H7" s="8" t="e">
        <f ca="1"/>
        <v>#NAME?</v>
      </c>
      <c r="I7" s="8" t="e">
        <f ca="1"/>
        <v>#NAME?</v>
      </c>
      <c r="J7" s="167" t="e">
        <f ca="1"/>
        <v>#NAME?</v>
      </c>
      <c r="L7" s="166" t="e">
        <f ca="1"/>
        <v>#NAME?</v>
      </c>
      <c r="M7" s="8" t="e">
        <f ca="1"/>
        <v>#NAME?</v>
      </c>
      <c r="N7" s="8" t="e">
        <f ca="1"/>
        <v>#NAME?</v>
      </c>
      <c r="O7" s="167" t="e">
        <f ca="1"/>
        <v>#NAME?</v>
      </c>
      <c r="R7" s="163" t="e">
        <f ca="1"/>
        <v>#NAME?</v>
      </c>
    </row>
    <row r="8" spans="1:18" x14ac:dyDescent="0.25">
      <c r="A8" s="169">
        <v>7</v>
      </c>
      <c r="B8" s="195">
        <v>6</v>
      </c>
      <c r="D8" s="195">
        <v>24</v>
      </c>
      <c r="E8" s="195">
        <v>24</v>
      </c>
      <c r="G8" s="166" t="e">
        <f ca="1"/>
        <v>#NAME?</v>
      </c>
      <c r="H8" s="8" t="e">
        <f ca="1"/>
        <v>#NAME?</v>
      </c>
      <c r="I8" s="8" t="e">
        <f ca="1"/>
        <v>#NAME?</v>
      </c>
      <c r="J8" s="167" t="e">
        <f ca="1"/>
        <v>#NAME?</v>
      </c>
      <c r="L8" s="166" t="e">
        <f ca="1"/>
        <v>#NAME?</v>
      </c>
      <c r="M8" s="8" t="e">
        <f ca="1"/>
        <v>#NAME?</v>
      </c>
      <c r="N8" s="8" t="e">
        <f ca="1"/>
        <v>#NAME?</v>
      </c>
      <c r="O8" s="167" t="e">
        <f ca="1"/>
        <v>#NAME?</v>
      </c>
      <c r="R8" s="163" t="e">
        <f ca="1"/>
        <v>#NAME?</v>
      </c>
    </row>
    <row r="9" spans="1:18" x14ac:dyDescent="0.25">
      <c r="A9" s="169">
        <v>8</v>
      </c>
      <c r="B9" s="195">
        <v>10</v>
      </c>
      <c r="D9" s="195">
        <v>2</v>
      </c>
      <c r="E9" s="195">
        <v>19</v>
      </c>
      <c r="G9" s="166" t="e">
        <f ca="1"/>
        <v>#NAME?</v>
      </c>
      <c r="H9" s="8" t="e">
        <f ca="1"/>
        <v>#NAME?</v>
      </c>
      <c r="I9" s="8" t="e">
        <f ca="1"/>
        <v>#NAME?</v>
      </c>
      <c r="J9" s="167" t="e">
        <f ca="1"/>
        <v>#NAME?</v>
      </c>
      <c r="L9" s="166" t="e">
        <f ca="1"/>
        <v>#NAME?</v>
      </c>
      <c r="M9" s="8" t="e">
        <f ca="1"/>
        <v>#NAME?</v>
      </c>
      <c r="N9" s="8" t="e">
        <f ca="1"/>
        <v>#NAME?</v>
      </c>
      <c r="O9" s="167" t="e">
        <f ca="1"/>
        <v>#NAME?</v>
      </c>
      <c r="R9" s="163" t="e">
        <f ca="1"/>
        <v>#NAME?</v>
      </c>
    </row>
    <row r="10" spans="1:18" x14ac:dyDescent="0.25">
      <c r="A10" s="169">
        <v>9</v>
      </c>
      <c r="B10" s="195">
        <v>12</v>
      </c>
      <c r="D10" s="195">
        <v>2</v>
      </c>
      <c r="E10" s="195"/>
      <c r="G10" s="148" t="e">
        <f ca="1"/>
        <v>#NAME?</v>
      </c>
      <c r="H10" s="276" t="e">
        <f ca="1"/>
        <v>#NAME?</v>
      </c>
      <c r="I10" s="276" t="e">
        <f ca="1"/>
        <v>#NAME?</v>
      </c>
      <c r="J10" s="153" t="e">
        <f ca="1"/>
        <v>#NAME?</v>
      </c>
      <c r="L10" s="148" t="e">
        <f ca="1"/>
        <v>#NAME?</v>
      </c>
      <c r="M10" s="276" t="e">
        <f ca="1"/>
        <v>#NAME?</v>
      </c>
      <c r="N10" s="276" t="e">
        <f ca="1"/>
        <v>#NAME?</v>
      </c>
      <c r="O10" s="153" t="e">
        <f ca="1"/>
        <v>#NAME?</v>
      </c>
      <c r="R10" s="163" t="e">
        <f ca="1"/>
        <v>#NAME?</v>
      </c>
    </row>
    <row r="11" spans="1:18" x14ac:dyDescent="0.25">
      <c r="A11" s="169">
        <v>11</v>
      </c>
      <c r="B11" s="195">
        <v>24</v>
      </c>
      <c r="D11" s="195">
        <v>21</v>
      </c>
      <c r="E11" s="195"/>
      <c r="R11" s="163" t="e">
        <f ca="1"/>
        <v>#NAME?</v>
      </c>
    </row>
    <row r="12" spans="1:18" x14ac:dyDescent="0.25">
      <c r="A12" s="169">
        <v>15</v>
      </c>
      <c r="B12" s="195">
        <v>16</v>
      </c>
      <c r="D12" s="194">
        <v>8</v>
      </c>
      <c r="E12" s="194"/>
      <c r="R12" s="163" t="e">
        <f ca="1"/>
        <v>#NAME?</v>
      </c>
    </row>
    <row r="13" spans="1:18" x14ac:dyDescent="0.25">
      <c r="A13" s="169">
        <v>17</v>
      </c>
      <c r="B13" s="195">
        <v>18</v>
      </c>
      <c r="R13" s="163" t="e">
        <f ca="1"/>
        <v>#NAME?</v>
      </c>
    </row>
    <row r="14" spans="1:18" x14ac:dyDescent="0.25">
      <c r="A14" s="169">
        <v>20</v>
      </c>
      <c r="B14" s="195">
        <v>19</v>
      </c>
      <c r="R14" s="163" t="e">
        <f ca="1"/>
        <v>#NAME?</v>
      </c>
    </row>
    <row r="15" spans="1:18" x14ac:dyDescent="0.25">
      <c r="A15" s="157">
        <v>21</v>
      </c>
      <c r="B15" s="194">
        <v>22</v>
      </c>
      <c r="R15" s="163" t="e">
        <f ca="1"/>
        <v>#NAME?</v>
      </c>
    </row>
    <row r="16" spans="1:18" x14ac:dyDescent="0.25">
      <c r="R16" s="163" t="e">
        <f ca="1"/>
        <v>#NAME?</v>
      </c>
    </row>
    <row r="17" spans="1:18" x14ac:dyDescent="0.25">
      <c r="R17" s="163" t="e">
        <f ca="1"/>
        <v>#NAME?</v>
      </c>
    </row>
    <row r="18" spans="1:18" x14ac:dyDescent="0.25">
      <c r="A18" s="453" t="s">
        <v>367</v>
      </c>
      <c r="B18" s="196" t="s">
        <v>368</v>
      </c>
      <c r="D18" s="224" t="s">
        <v>1270</v>
      </c>
      <c r="E18" s="224" t="s">
        <v>1271</v>
      </c>
      <c r="R18" s="163" t="e">
        <f ca="1"/>
        <v>#NAME?</v>
      </c>
    </row>
    <row r="19" spans="1:18" x14ac:dyDescent="0.25">
      <c r="A19" s="159">
        <v>2</v>
      </c>
      <c r="B19" s="195">
        <v>1</v>
      </c>
      <c r="D19" s="163" t="e">
        <f t="array" aca="1" ref="D19:D24" ca="1">RANDOMIZE(A19:B28)</f>
        <v>#NAME?</v>
      </c>
      <c r="E19" s="163" t="e">
        <f t="array" aca="1" ref="E19:E24" ca="1">SHUFFLE(A19:B28)</f>
        <v>#NAME?</v>
      </c>
      <c r="R19" s="163" t="e">
        <f ca="1"/>
        <v>#NAME?</v>
      </c>
    </row>
    <row r="20" spans="1:18" x14ac:dyDescent="0.25">
      <c r="A20" s="169">
        <v>5</v>
      </c>
      <c r="B20" s="195">
        <v>3</v>
      </c>
      <c r="D20" s="163" t="e">
        <f ca="1"/>
        <v>#NAME?</v>
      </c>
      <c r="E20" s="163" t="e">
        <f ca="1"/>
        <v>#NAME?</v>
      </c>
      <c r="R20" s="163" t="e">
        <f ca="1"/>
        <v>#NAME?</v>
      </c>
    </row>
    <row r="21" spans="1:18" x14ac:dyDescent="0.25">
      <c r="A21" s="169">
        <v>7</v>
      </c>
      <c r="B21" s="195">
        <v>6</v>
      </c>
      <c r="D21" s="163" t="e">
        <f ca="1"/>
        <v>#NAME?</v>
      </c>
      <c r="E21" s="163" t="e">
        <f ca="1"/>
        <v>#NAME?</v>
      </c>
      <c r="R21" s="163" t="e">
        <f ca="1"/>
        <v>#NAME?</v>
      </c>
    </row>
    <row r="22" spans="1:18" x14ac:dyDescent="0.25">
      <c r="A22" s="169">
        <v>8</v>
      </c>
      <c r="B22" s="195">
        <v>10</v>
      </c>
      <c r="D22" s="163" t="e">
        <f ca="1"/>
        <v>#NAME?</v>
      </c>
      <c r="E22" s="163" t="e">
        <f ca="1"/>
        <v>#NAME?</v>
      </c>
      <c r="R22" s="155" t="e">
        <f ca="1"/>
        <v>#NAME?</v>
      </c>
    </row>
    <row r="23" spans="1:18" x14ac:dyDescent="0.25">
      <c r="A23" s="169">
        <v>9</v>
      </c>
      <c r="B23" s="195">
        <v>12</v>
      </c>
      <c r="D23" s="163" t="e">
        <f ca="1"/>
        <v>#NAME?</v>
      </c>
      <c r="E23" s="163" t="e">
        <f ca="1"/>
        <v>#NAME?</v>
      </c>
    </row>
    <row r="24" spans="1:18" x14ac:dyDescent="0.25">
      <c r="A24" s="169">
        <v>11</v>
      </c>
      <c r="B24" s="195">
        <v>24</v>
      </c>
      <c r="D24" s="155" t="e">
        <f ca="1"/>
        <v>#NAME?</v>
      </c>
      <c r="E24" s="155" t="e">
        <f ca="1"/>
        <v>#NAME?</v>
      </c>
    </row>
    <row r="25" spans="1:18" x14ac:dyDescent="0.25">
      <c r="A25" s="169">
        <v>15</v>
      </c>
      <c r="B25" s="195">
        <v>16</v>
      </c>
    </row>
    <row r="26" spans="1:18" x14ac:dyDescent="0.25">
      <c r="A26" s="169">
        <v>17</v>
      </c>
      <c r="B26" s="195">
        <v>18</v>
      </c>
    </row>
    <row r="27" spans="1:18" x14ac:dyDescent="0.25">
      <c r="A27" s="169">
        <v>20</v>
      </c>
      <c r="B27" s="195">
        <v>19</v>
      </c>
    </row>
    <row r="28" spans="1:18" x14ac:dyDescent="0.25">
      <c r="A28" s="157">
        <v>21</v>
      </c>
      <c r="B28" s="194">
        <v>22</v>
      </c>
    </row>
  </sheetData>
  <mergeCells count="2">
    <mergeCell ref="A3:B3"/>
    <mergeCell ref="D3:E3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4"/>
  <dimension ref="A1:S23"/>
  <sheetViews>
    <sheetView workbookViewId="0"/>
  </sheetViews>
  <sheetFormatPr defaultRowHeight="15" x14ac:dyDescent="0.25"/>
  <sheetData>
    <row r="1" spans="1:19" x14ac:dyDescent="0.25">
      <c r="A1" s="1" t="s">
        <v>490</v>
      </c>
      <c r="E1" s="1" t="s">
        <v>501</v>
      </c>
    </row>
    <row r="2" spans="1:19" x14ac:dyDescent="0.25">
      <c r="I2" t="s">
        <v>517</v>
      </c>
      <c r="K2" s="22" t="s">
        <v>1106</v>
      </c>
      <c r="P2" s="22" t="s">
        <v>1107</v>
      </c>
    </row>
    <row r="3" spans="1:19" x14ac:dyDescent="0.25">
      <c r="A3" s="192" t="s">
        <v>491</v>
      </c>
      <c r="B3" s="170" t="s">
        <v>488</v>
      </c>
      <c r="C3" s="197" t="s">
        <v>258</v>
      </c>
      <c r="E3" s="170" t="s">
        <v>491</v>
      </c>
      <c r="F3" s="197" t="s">
        <v>258</v>
      </c>
    </row>
    <row r="4" spans="1:19" ht="15.75" x14ac:dyDescent="0.3">
      <c r="A4" s="166">
        <v>2</v>
      </c>
      <c r="B4" s="163">
        <f ca="1">RAND()</f>
        <v>0.45921914497519389</v>
      </c>
      <c r="C4" s="199">
        <f t="shared" ref="C4:C9" ca="1" si="0">INDEX(A$4:A$23,RANK(B4,B$4:B$23))</f>
        <v>1</v>
      </c>
      <c r="E4" s="163">
        <v>2</v>
      </c>
      <c r="F4" s="199">
        <f t="shared" ref="F4:F9" ca="1" si="1">INDEX(E$4:E$23,RANDBETWEEN(1,COUNT(E$4:E$23)))</f>
        <v>22</v>
      </c>
      <c r="I4" s="154" t="e">
        <f t="array" aca="1" ref="I4:I23" ca="1">SHUFFLE(A4:A23)</f>
        <v>#NAME?</v>
      </c>
      <c r="K4" s="316" t="e">
        <f t="array" aca="1" ref="K4:N9" ca="1">RANDOMIZE(E4:E23)</f>
        <v>#NAME?</v>
      </c>
      <c r="L4" s="292" t="e">
        <f ca="1"/>
        <v>#NAME?</v>
      </c>
      <c r="M4" s="292" t="e">
        <f ca="1"/>
        <v>#NAME?</v>
      </c>
      <c r="N4" s="317" t="e">
        <f ca="1"/>
        <v>#NAME?</v>
      </c>
      <c r="P4" s="316" t="e">
        <f t="array" aca="1" ref="P4:S9" ca="1">SHUFFLE(A4:A23)</f>
        <v>#NAME?</v>
      </c>
      <c r="Q4" s="292" t="e">
        <f ca="1"/>
        <v>#NAME?</v>
      </c>
      <c r="R4" s="292" t="e">
        <f ca="1"/>
        <v>#NAME?</v>
      </c>
      <c r="S4" s="317" t="e">
        <f ca="1"/>
        <v>#NAME?</v>
      </c>
    </row>
    <row r="5" spans="1:19" ht="15.75" x14ac:dyDescent="0.3">
      <c r="A5" s="166">
        <v>5</v>
      </c>
      <c r="B5" s="163">
        <f t="shared" ref="B5:B23" ca="1" si="2">RAND()</f>
        <v>0.30591348446854116</v>
      </c>
      <c r="C5" s="200">
        <f t="shared" ca="1" si="0"/>
        <v>10</v>
      </c>
      <c r="E5" s="163">
        <v>5</v>
      </c>
      <c r="F5" s="200">
        <f t="shared" ca="1" si="1"/>
        <v>18</v>
      </c>
      <c r="I5" s="163" t="e">
        <f ca="1"/>
        <v>#NAME?</v>
      </c>
      <c r="K5" s="166" t="e">
        <f ca="1"/>
        <v>#NAME?</v>
      </c>
      <c r="L5" s="8" t="e">
        <f ca="1"/>
        <v>#NAME?</v>
      </c>
      <c r="M5" s="8" t="e">
        <f ca="1"/>
        <v>#NAME?</v>
      </c>
      <c r="N5" s="167" t="e">
        <f ca="1"/>
        <v>#NAME?</v>
      </c>
      <c r="P5" s="166" t="e">
        <f ca="1"/>
        <v>#NAME?</v>
      </c>
      <c r="Q5" s="8" t="e">
        <f ca="1"/>
        <v>#NAME?</v>
      </c>
      <c r="R5" s="8" t="e">
        <f ca="1"/>
        <v>#NAME?</v>
      </c>
      <c r="S5" s="167" t="e">
        <f ca="1"/>
        <v>#NAME?</v>
      </c>
    </row>
    <row r="6" spans="1:19" ht="15.75" x14ac:dyDescent="0.3">
      <c r="A6" s="166">
        <v>7</v>
      </c>
      <c r="B6" s="163">
        <f t="shared" ca="1" si="2"/>
        <v>0.27741083730070726</v>
      </c>
      <c r="C6" s="200">
        <f t="shared" ca="1" si="0"/>
        <v>24</v>
      </c>
      <c r="E6" s="163">
        <v>7</v>
      </c>
      <c r="F6" s="200">
        <f t="shared" ca="1" si="1"/>
        <v>16</v>
      </c>
      <c r="I6" s="163" t="e">
        <f ca="1"/>
        <v>#NAME?</v>
      </c>
      <c r="K6" s="166" t="e">
        <f ca="1"/>
        <v>#NAME?</v>
      </c>
      <c r="L6" s="8" t="e">
        <f ca="1"/>
        <v>#NAME?</v>
      </c>
      <c r="M6" s="8" t="e">
        <f ca="1"/>
        <v>#NAME?</v>
      </c>
      <c r="N6" s="167" t="e">
        <f ca="1"/>
        <v>#NAME?</v>
      </c>
      <c r="P6" s="166" t="e">
        <f ca="1"/>
        <v>#NAME?</v>
      </c>
      <c r="Q6" s="8" t="e">
        <f ca="1"/>
        <v>#NAME?</v>
      </c>
      <c r="R6" s="8" t="e">
        <f ca="1"/>
        <v>#NAME?</v>
      </c>
      <c r="S6" s="167" t="e">
        <f ca="1"/>
        <v>#NAME?</v>
      </c>
    </row>
    <row r="7" spans="1:19" ht="15.75" x14ac:dyDescent="0.3">
      <c r="A7" s="166">
        <v>8</v>
      </c>
      <c r="B7" s="163">
        <f t="shared" ca="1" si="2"/>
        <v>0.25083945272217922</v>
      </c>
      <c r="C7" s="200">
        <f t="shared" ca="1" si="0"/>
        <v>19</v>
      </c>
      <c r="E7" s="163">
        <v>8</v>
      </c>
      <c r="F7" s="200">
        <f t="shared" ca="1" si="1"/>
        <v>6</v>
      </c>
      <c r="I7" s="163" t="e">
        <f ca="1"/>
        <v>#NAME?</v>
      </c>
      <c r="K7" s="166" t="e">
        <f ca="1"/>
        <v>#NAME?</v>
      </c>
      <c r="L7" s="8" t="e">
        <f ca="1"/>
        <v>#NAME?</v>
      </c>
      <c r="M7" s="8" t="e">
        <f ca="1"/>
        <v>#NAME?</v>
      </c>
      <c r="N7" s="167" t="e">
        <f ca="1"/>
        <v>#NAME?</v>
      </c>
      <c r="P7" s="166" t="e">
        <f ca="1"/>
        <v>#NAME?</v>
      </c>
      <c r="Q7" s="8" t="e">
        <f ca="1"/>
        <v>#NAME?</v>
      </c>
      <c r="R7" s="8" t="e">
        <f ca="1"/>
        <v>#NAME?</v>
      </c>
      <c r="S7" s="167" t="e">
        <f ca="1"/>
        <v>#NAME?</v>
      </c>
    </row>
    <row r="8" spans="1:19" ht="15.75" x14ac:dyDescent="0.3">
      <c r="A8" s="166">
        <v>9</v>
      </c>
      <c r="B8" s="163">
        <f t="shared" ca="1" si="2"/>
        <v>0.54821345524108112</v>
      </c>
      <c r="C8" s="200">
        <f t="shared" ca="1" si="0"/>
        <v>20</v>
      </c>
      <c r="E8" s="163">
        <v>9</v>
      </c>
      <c r="F8" s="200">
        <f t="shared" ca="1" si="1"/>
        <v>5</v>
      </c>
      <c r="I8" s="163" t="e">
        <f ca="1"/>
        <v>#NAME?</v>
      </c>
      <c r="K8" s="166" t="e">
        <f ca="1"/>
        <v>#NAME?</v>
      </c>
      <c r="L8" s="8" t="e">
        <f ca="1"/>
        <v>#NAME?</v>
      </c>
      <c r="M8" s="8" t="e">
        <f ca="1"/>
        <v>#NAME?</v>
      </c>
      <c r="N8" s="167" t="e">
        <f ca="1"/>
        <v>#NAME?</v>
      </c>
      <c r="P8" s="166" t="e">
        <f ca="1"/>
        <v>#NAME?</v>
      </c>
      <c r="Q8" s="8" t="e">
        <f ca="1"/>
        <v>#NAME?</v>
      </c>
      <c r="R8" s="8" t="e">
        <f ca="1"/>
        <v>#NAME?</v>
      </c>
      <c r="S8" s="167" t="e">
        <f ca="1"/>
        <v>#NAME?</v>
      </c>
    </row>
    <row r="9" spans="1:19" ht="15.75" x14ac:dyDescent="0.3">
      <c r="A9" s="166">
        <v>11</v>
      </c>
      <c r="B9" s="163">
        <f t="shared" ca="1" si="2"/>
        <v>0.2724257682344301</v>
      </c>
      <c r="C9" s="201">
        <f t="shared" ca="1" si="0"/>
        <v>16</v>
      </c>
      <c r="E9" s="163">
        <v>11</v>
      </c>
      <c r="F9" s="201">
        <f t="shared" ca="1" si="1"/>
        <v>17</v>
      </c>
      <c r="I9" s="163" t="e">
        <f ca="1"/>
        <v>#NAME?</v>
      </c>
      <c r="K9" s="148" t="e">
        <f ca="1"/>
        <v>#NAME?</v>
      </c>
      <c r="L9" s="276" t="e">
        <f ca="1"/>
        <v>#NAME?</v>
      </c>
      <c r="M9" s="276" t="e">
        <f ca="1"/>
        <v>#NAME?</v>
      </c>
      <c r="N9" s="153" t="e">
        <f ca="1"/>
        <v>#NAME?</v>
      </c>
      <c r="P9" s="148" t="e">
        <f ca="1"/>
        <v>#NAME?</v>
      </c>
      <c r="Q9" s="276" t="e">
        <f ca="1"/>
        <v>#NAME?</v>
      </c>
      <c r="R9" s="276" t="e">
        <f ca="1"/>
        <v>#NAME?</v>
      </c>
      <c r="S9" s="153" t="e">
        <f ca="1"/>
        <v>#NAME?</v>
      </c>
    </row>
    <row r="10" spans="1:19" ht="15.75" x14ac:dyDescent="0.3">
      <c r="A10" s="166">
        <v>15</v>
      </c>
      <c r="B10" s="163">
        <f t="shared" ca="1" si="2"/>
        <v>0.93950333611655712</v>
      </c>
      <c r="C10" s="198"/>
      <c r="E10" s="163">
        <v>15</v>
      </c>
      <c r="G10" s="198"/>
      <c r="H10" s="198"/>
      <c r="I10" s="163" t="e">
        <f ca="1"/>
        <v>#NAME?</v>
      </c>
    </row>
    <row r="11" spans="1:19" ht="15.75" x14ac:dyDescent="0.3">
      <c r="A11" s="166">
        <v>17</v>
      </c>
      <c r="B11" s="163">
        <f t="shared" ca="1" si="2"/>
        <v>0.4583775856464376</v>
      </c>
      <c r="C11" s="198"/>
      <c r="E11" s="163">
        <v>17</v>
      </c>
      <c r="G11" s="198"/>
      <c r="H11" s="198"/>
      <c r="I11" s="163" t="e">
        <f ca="1"/>
        <v>#NAME?</v>
      </c>
    </row>
    <row r="12" spans="1:19" ht="15.75" x14ac:dyDescent="0.3">
      <c r="A12" s="166">
        <v>20</v>
      </c>
      <c r="B12" s="163">
        <f t="shared" ca="1" si="2"/>
        <v>0.14249485548301688</v>
      </c>
      <c r="C12" s="198"/>
      <c r="E12" s="163">
        <v>20</v>
      </c>
      <c r="G12" s="198"/>
      <c r="H12" s="198"/>
      <c r="I12" s="163" t="e">
        <f ca="1"/>
        <v>#NAME?</v>
      </c>
    </row>
    <row r="13" spans="1:19" ht="15.75" x14ac:dyDescent="0.3">
      <c r="A13" s="166">
        <v>21</v>
      </c>
      <c r="B13" s="163">
        <f t="shared" ca="1" si="2"/>
        <v>0.98823158834623426</v>
      </c>
      <c r="C13" s="198"/>
      <c r="E13" s="163">
        <v>21</v>
      </c>
      <c r="G13" s="198"/>
      <c r="H13" s="198"/>
      <c r="I13" s="163" t="e">
        <f ca="1"/>
        <v>#NAME?</v>
      </c>
    </row>
    <row r="14" spans="1:19" ht="15.75" x14ac:dyDescent="0.3">
      <c r="A14" s="166">
        <v>1</v>
      </c>
      <c r="B14" s="163">
        <f t="shared" ca="1" si="2"/>
        <v>0.29747328611294732</v>
      </c>
      <c r="C14" s="198"/>
      <c r="E14" s="163">
        <v>1</v>
      </c>
      <c r="G14" s="198"/>
      <c r="H14" s="198"/>
      <c r="I14" s="163" t="e">
        <f ca="1"/>
        <v>#NAME?</v>
      </c>
    </row>
    <row r="15" spans="1:19" ht="15.75" x14ac:dyDescent="0.3">
      <c r="A15" s="166">
        <v>3</v>
      </c>
      <c r="B15" s="163">
        <f t="shared" ca="1" si="2"/>
        <v>0.26223339853086425</v>
      </c>
      <c r="C15" s="198"/>
      <c r="E15" s="163">
        <v>3</v>
      </c>
      <c r="G15" s="198"/>
      <c r="H15" s="198"/>
      <c r="I15" s="163" t="e">
        <f ca="1"/>
        <v>#NAME?</v>
      </c>
    </row>
    <row r="16" spans="1:19" ht="15.75" x14ac:dyDescent="0.3">
      <c r="A16" s="166">
        <v>6</v>
      </c>
      <c r="B16" s="163">
        <f t="shared" ca="1" si="2"/>
        <v>0.68045939787764476</v>
      </c>
      <c r="C16" s="198"/>
      <c r="E16" s="163">
        <v>6</v>
      </c>
      <c r="G16" s="198"/>
      <c r="H16" s="198"/>
      <c r="I16" s="163" t="e">
        <f ca="1"/>
        <v>#NAME?</v>
      </c>
    </row>
    <row r="17" spans="1:9" ht="15.75" x14ac:dyDescent="0.3">
      <c r="A17" s="166">
        <v>10</v>
      </c>
      <c r="B17" s="163">
        <f t="shared" ca="1" si="2"/>
        <v>0.81509970768915563</v>
      </c>
      <c r="C17" s="198"/>
      <c r="E17" s="163">
        <v>10</v>
      </c>
      <c r="G17" s="198"/>
      <c r="H17" s="198"/>
      <c r="I17" s="163" t="e">
        <f ca="1"/>
        <v>#NAME?</v>
      </c>
    </row>
    <row r="18" spans="1:9" ht="15.75" x14ac:dyDescent="0.3">
      <c r="A18" s="166">
        <v>12</v>
      </c>
      <c r="B18" s="163">
        <f t="shared" ca="1" si="2"/>
        <v>0.60853672701111827</v>
      </c>
      <c r="C18" s="198"/>
      <c r="E18" s="163">
        <v>12</v>
      </c>
      <c r="G18" s="198"/>
      <c r="H18" s="198"/>
      <c r="I18" s="163" t="e">
        <f ca="1"/>
        <v>#NAME?</v>
      </c>
    </row>
    <row r="19" spans="1:9" ht="15.75" x14ac:dyDescent="0.3">
      <c r="A19" s="166">
        <v>24</v>
      </c>
      <c r="B19" s="163">
        <f t="shared" ca="1" si="2"/>
        <v>0.4641344174734251</v>
      </c>
      <c r="C19" s="198"/>
      <c r="E19" s="163">
        <v>24</v>
      </c>
      <c r="G19" s="198"/>
      <c r="H19" s="198"/>
      <c r="I19" s="163" t="e">
        <f ca="1"/>
        <v>#NAME?</v>
      </c>
    </row>
    <row r="20" spans="1:9" ht="15.75" x14ac:dyDescent="0.3">
      <c r="A20" s="166">
        <v>16</v>
      </c>
      <c r="B20" s="163">
        <f t="shared" ca="1" si="2"/>
        <v>0.37159086060520496</v>
      </c>
      <c r="C20" s="198"/>
      <c r="E20" s="163">
        <v>16</v>
      </c>
      <c r="G20" s="198"/>
      <c r="H20" s="198"/>
      <c r="I20" s="163" t="e">
        <f ca="1"/>
        <v>#NAME?</v>
      </c>
    </row>
    <row r="21" spans="1:9" ht="15.75" x14ac:dyDescent="0.3">
      <c r="A21" s="166">
        <v>18</v>
      </c>
      <c r="B21" s="163">
        <f t="shared" ca="1" si="2"/>
        <v>0.64176460361425258</v>
      </c>
      <c r="C21" s="198"/>
      <c r="E21" s="163">
        <v>18</v>
      </c>
      <c r="G21" s="198"/>
      <c r="H21" s="198"/>
      <c r="I21" s="163" t="e">
        <f ca="1"/>
        <v>#NAME?</v>
      </c>
    </row>
    <row r="22" spans="1:9" ht="15.75" x14ac:dyDescent="0.3">
      <c r="A22" s="166">
        <v>19</v>
      </c>
      <c r="B22" s="163">
        <f t="shared" ca="1" si="2"/>
        <v>0.67442350657676176</v>
      </c>
      <c r="C22" s="198"/>
      <c r="E22" s="163">
        <v>19</v>
      </c>
      <c r="G22" s="198"/>
      <c r="H22" s="198"/>
      <c r="I22" s="163" t="e">
        <f ca="1"/>
        <v>#NAME?</v>
      </c>
    </row>
    <row r="23" spans="1:9" ht="15.75" x14ac:dyDescent="0.3">
      <c r="A23" s="148">
        <v>22</v>
      </c>
      <c r="B23" s="155">
        <f t="shared" ca="1" si="2"/>
        <v>0.77986580059487598</v>
      </c>
      <c r="C23" s="198"/>
      <c r="E23" s="155">
        <v>22</v>
      </c>
      <c r="G23" s="198"/>
      <c r="H23" s="198"/>
      <c r="I23" s="155" t="e">
        <f ca="1"/>
        <v>#NAME?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0"/>
  <dimension ref="A1:R44"/>
  <sheetViews>
    <sheetView workbookViewId="0"/>
  </sheetViews>
  <sheetFormatPr defaultRowHeight="15" x14ac:dyDescent="0.25"/>
  <cols>
    <col min="1" max="1" width="10.85546875" customWidth="1"/>
    <col min="7" max="7" width="9.28515625" customWidth="1"/>
    <col min="23" max="23" width="13.7109375" customWidth="1"/>
  </cols>
  <sheetData>
    <row r="1" spans="1:2" x14ac:dyDescent="0.25">
      <c r="A1" s="1" t="s">
        <v>391</v>
      </c>
    </row>
    <row r="3" spans="1:2" x14ac:dyDescent="0.25">
      <c r="A3" s="592" t="s">
        <v>392</v>
      </c>
      <c r="B3" s="592"/>
    </row>
    <row r="4" spans="1:2" x14ac:dyDescent="0.25">
      <c r="A4" s="8" t="s">
        <v>63</v>
      </c>
      <c r="B4" s="204">
        <v>60</v>
      </c>
    </row>
    <row r="5" spans="1:2" x14ac:dyDescent="0.25">
      <c r="A5" s="8" t="s">
        <v>66</v>
      </c>
      <c r="B5" s="155">
        <v>12</v>
      </c>
    </row>
    <row r="7" spans="1:2" x14ac:dyDescent="0.25">
      <c r="A7" s="592" t="s">
        <v>393</v>
      </c>
      <c r="B7" s="592"/>
    </row>
    <row r="8" spans="1:2" x14ac:dyDescent="0.25">
      <c r="A8" s="8" t="s">
        <v>396</v>
      </c>
      <c r="B8" s="204">
        <v>110</v>
      </c>
    </row>
    <row r="9" spans="1:2" x14ac:dyDescent="0.25">
      <c r="A9" s="8" t="s">
        <v>262</v>
      </c>
      <c r="B9" s="163">
        <v>0.05</v>
      </c>
    </row>
    <row r="10" spans="1:2" x14ac:dyDescent="0.25">
      <c r="A10" s="8" t="s">
        <v>394</v>
      </c>
      <c r="B10" s="163">
        <v>1</v>
      </c>
    </row>
    <row r="11" spans="1:2" x14ac:dyDescent="0.25">
      <c r="A11" s="8" t="s">
        <v>372</v>
      </c>
      <c r="B11" s="163">
        <f>B5/SQRT(B8)</f>
        <v>1.1441551070947107</v>
      </c>
    </row>
    <row r="12" spans="1:2" x14ac:dyDescent="0.25">
      <c r="A12" s="8" t="s">
        <v>395</v>
      </c>
      <c r="B12" s="155">
        <f>NORMINV(1-B9,B4,B11)</f>
        <v>61.881967677699784</v>
      </c>
    </row>
    <row r="15" spans="1:2" x14ac:dyDescent="0.25">
      <c r="A15" t="s">
        <v>112</v>
      </c>
    </row>
    <row r="16" spans="1:2" x14ac:dyDescent="0.25">
      <c r="A16" s="130"/>
      <c r="B16" s="130"/>
    </row>
    <row r="17" spans="1:17" x14ac:dyDescent="0.25">
      <c r="A17" s="141" t="s">
        <v>63</v>
      </c>
      <c r="B17" s="141" t="s">
        <v>398</v>
      </c>
      <c r="C17" s="141" t="s">
        <v>397</v>
      </c>
      <c r="N17" t="s">
        <v>399</v>
      </c>
    </row>
    <row r="18" spans="1:17" x14ac:dyDescent="0.25">
      <c r="A18">
        <f>B12</f>
        <v>61.881967677699784</v>
      </c>
      <c r="B18">
        <f>NORMDIST($B$12,A18,$B$11,TRUE)</f>
        <v>0.5</v>
      </c>
      <c r="C18">
        <f>1-B18</f>
        <v>0.5</v>
      </c>
    </row>
    <row r="19" spans="1:17" x14ac:dyDescent="0.25">
      <c r="A19" s="52">
        <f>INT(A18*10+1)/10</f>
        <v>61.9</v>
      </c>
      <c r="B19">
        <f t="shared" ref="B19:B44" si="0">NORMDIST($B$12,A19,$B$11,TRUE)</f>
        <v>0.49371277728636825</v>
      </c>
      <c r="C19">
        <f t="shared" ref="C19:C44" si="1">1-B19</f>
        <v>0.50628722271363169</v>
      </c>
      <c r="N19" s="227" t="s">
        <v>390</v>
      </c>
      <c r="O19" s="227" t="s">
        <v>63</v>
      </c>
      <c r="P19" s="227" t="s">
        <v>398</v>
      </c>
      <c r="Q19" s="227" t="s">
        <v>397</v>
      </c>
    </row>
    <row r="20" spans="1:17" x14ac:dyDescent="0.25">
      <c r="A20" s="52">
        <f>A19+0.1</f>
        <v>62</v>
      </c>
      <c r="B20">
        <f t="shared" si="0"/>
        <v>0.45891754848598787</v>
      </c>
      <c r="C20">
        <f t="shared" si="1"/>
        <v>0.54108245151401213</v>
      </c>
      <c r="N20">
        <v>0.2</v>
      </c>
      <c r="O20">
        <f>$B$4+$B$5*N20</f>
        <v>62.4</v>
      </c>
      <c r="P20">
        <f>NORMDIST($B$12,O20,$B$11,TRUE)</f>
        <v>0.32535931951029284</v>
      </c>
      <c r="Q20">
        <f>1-P20</f>
        <v>0.67464068048970716</v>
      </c>
    </row>
    <row r="21" spans="1:17" x14ac:dyDescent="0.25">
      <c r="A21" s="52">
        <f t="shared" ref="A21:A30" si="2">A20+0.1</f>
        <v>62.1</v>
      </c>
      <c r="B21">
        <f t="shared" si="0"/>
        <v>0.42443443796337804</v>
      </c>
      <c r="C21">
        <f t="shared" si="1"/>
        <v>0.57556556203662201</v>
      </c>
    </row>
    <row r="22" spans="1:17" x14ac:dyDescent="0.25">
      <c r="A22" s="52">
        <f t="shared" si="2"/>
        <v>62.2</v>
      </c>
      <c r="B22">
        <f t="shared" si="0"/>
        <v>0.39052053637083356</v>
      </c>
      <c r="C22">
        <f t="shared" si="1"/>
        <v>0.6094794636291665</v>
      </c>
      <c r="N22" s="109" t="s">
        <v>400</v>
      </c>
      <c r="O22" s="223"/>
      <c r="P22" s="223"/>
      <c r="Q22" s="223"/>
    </row>
    <row r="23" spans="1:17" x14ac:dyDescent="0.25">
      <c r="A23" s="52">
        <f t="shared" si="2"/>
        <v>62.300000000000004</v>
      </c>
      <c r="B23">
        <f t="shared" si="0"/>
        <v>0.35742010442580252</v>
      </c>
      <c r="C23">
        <f t="shared" si="1"/>
        <v>0.64257989557419748</v>
      </c>
      <c r="N23" s="227"/>
      <c r="O23" s="227"/>
      <c r="P23" s="227"/>
      <c r="Q23" s="227"/>
    </row>
    <row r="24" spans="1:17" x14ac:dyDescent="0.25">
      <c r="A24" s="52">
        <f t="shared" si="2"/>
        <v>62.400000000000006</v>
      </c>
      <c r="B24">
        <f t="shared" si="0"/>
        <v>0.32535931951029062</v>
      </c>
      <c r="C24">
        <f t="shared" si="1"/>
        <v>0.67464068048970938</v>
      </c>
      <c r="N24" s="227" t="s">
        <v>390</v>
      </c>
      <c r="O24" s="227" t="s">
        <v>63</v>
      </c>
      <c r="P24" s="227" t="s">
        <v>398</v>
      </c>
      <c r="Q24" s="227" t="s">
        <v>397</v>
      </c>
    </row>
    <row r="25" spans="1:17" x14ac:dyDescent="0.25">
      <c r="A25" s="52">
        <f t="shared" si="2"/>
        <v>62.500000000000007</v>
      </c>
      <c r="B25">
        <f>NORMDIST($B$12,A25,$B$11,TRUE)</f>
        <v>0.29454169041516465</v>
      </c>
      <c r="C25">
        <f t="shared" si="1"/>
        <v>0.70545830958483535</v>
      </c>
      <c r="N25">
        <f>(O25-$B$4)/$B$5</f>
        <v>0.2370975325003061</v>
      </c>
      <c r="O25">
        <v>62.845170390003673</v>
      </c>
      <c r="P25">
        <f>NORMDIST($B$12,O25,$B$11,TRUE)</f>
        <v>0.19993700357886809</v>
      </c>
      <c r="Q25">
        <f>1-P25</f>
        <v>0.80006299642113188</v>
      </c>
    </row>
    <row r="26" spans="1:17" x14ac:dyDescent="0.25">
      <c r="A26" s="52">
        <f t="shared" si="2"/>
        <v>62.600000000000009</v>
      </c>
      <c r="B26">
        <f t="shared" si="0"/>
        <v>0.26514429316689925</v>
      </c>
      <c r="C26">
        <f t="shared" si="1"/>
        <v>0.73485570683310075</v>
      </c>
    </row>
    <row r="27" spans="1:17" x14ac:dyDescent="0.25">
      <c r="A27" s="52">
        <f t="shared" si="2"/>
        <v>62.70000000000001</v>
      </c>
      <c r="B27">
        <f t="shared" si="0"/>
        <v>0.23731493937549364</v>
      </c>
      <c r="C27">
        <f t="shared" si="1"/>
        <v>0.76268506062450636</v>
      </c>
      <c r="N27" t="s">
        <v>401</v>
      </c>
    </row>
    <row r="28" spans="1:17" x14ac:dyDescent="0.25">
      <c r="A28" s="52">
        <f t="shared" si="2"/>
        <v>62.800000000000011</v>
      </c>
      <c r="B28">
        <f t="shared" si="0"/>
        <v>0.2111703426986915</v>
      </c>
      <c r="C28">
        <f t="shared" si="1"/>
        <v>0.7888296573013085</v>
      </c>
    </row>
    <row r="29" spans="1:17" x14ac:dyDescent="0.25">
      <c r="A29" s="52">
        <f t="shared" si="2"/>
        <v>62.900000000000013</v>
      </c>
      <c r="B29">
        <f t="shared" si="0"/>
        <v>0.18679530171283279</v>
      </c>
      <c r="C29">
        <f t="shared" si="1"/>
        <v>0.81320469828716724</v>
      </c>
      <c r="N29" s="227" t="s">
        <v>64</v>
      </c>
      <c r="O29" s="227" t="s">
        <v>63</v>
      </c>
      <c r="P29" s="227" t="s">
        <v>398</v>
      </c>
      <c r="Q29" s="227" t="s">
        <v>397</v>
      </c>
    </row>
    <row r="30" spans="1:17" x14ac:dyDescent="0.25">
      <c r="A30" s="52">
        <f t="shared" si="2"/>
        <v>63.000000000000014</v>
      </c>
      <c r="B30">
        <f t="shared" si="0"/>
        <v>0.16424287157366305</v>
      </c>
      <c r="C30">
        <f t="shared" si="1"/>
        <v>0.83575712842633698</v>
      </c>
      <c r="N30">
        <v>22.600161841077849</v>
      </c>
      <c r="O30">
        <v>64</v>
      </c>
      <c r="P30">
        <f>NORMDIST($B$12,O30,$B$5/SQRT(N30),TRUE)</f>
        <v>0.20071018062064577</v>
      </c>
      <c r="Q30">
        <f>1-P30</f>
        <v>0.79928981937935428</v>
      </c>
    </row>
    <row r="31" spans="1:17" x14ac:dyDescent="0.25">
      <c r="A31" s="52">
        <f>A30+0.1</f>
        <v>63.100000000000016</v>
      </c>
      <c r="B31">
        <f t="shared" si="0"/>
        <v>0.14353545496631082</v>
      </c>
      <c r="C31">
        <f t="shared" si="1"/>
        <v>0.85646454503368918</v>
      </c>
    </row>
    <row r="32" spans="1:17" x14ac:dyDescent="0.25">
      <c r="A32" s="52">
        <f>A31+0.1</f>
        <v>63.200000000000017</v>
      </c>
      <c r="B32">
        <f t="shared" si="0"/>
        <v>0.12466670719360462</v>
      </c>
      <c r="C32">
        <f t="shared" si="1"/>
        <v>0.87533329280639538</v>
      </c>
      <c r="N32" t="s">
        <v>402</v>
      </c>
    </row>
    <row r="33" spans="1:18" x14ac:dyDescent="0.25">
      <c r="A33" s="52">
        <f>A32+0.1</f>
        <v>63.300000000000018</v>
      </c>
      <c r="B33">
        <f t="shared" si="0"/>
        <v>0.1076041224965501</v>
      </c>
      <c r="C33">
        <f t="shared" si="1"/>
        <v>0.89239587750344995</v>
      </c>
    </row>
    <row r="34" spans="1:18" x14ac:dyDescent="0.25">
      <c r="A34" s="52">
        <f>A33+0.1</f>
        <v>63.40000000000002</v>
      </c>
      <c r="B34">
        <f t="shared" si="0"/>
        <v>9.2292149866411183E-2</v>
      </c>
      <c r="C34">
        <f t="shared" si="1"/>
        <v>0.90770785013358879</v>
      </c>
      <c r="N34" s="227" t="s">
        <v>64</v>
      </c>
      <c r="O34" s="227" t="s">
        <v>390</v>
      </c>
      <c r="P34" s="227" t="s">
        <v>63</v>
      </c>
      <c r="Q34" s="227" t="s">
        <v>398</v>
      </c>
      <c r="R34" s="227" t="s">
        <v>397</v>
      </c>
    </row>
    <row r="35" spans="1:18" x14ac:dyDescent="0.25">
      <c r="A35" s="52">
        <f t="shared" ref="A35:A42" si="3">A34+0.1</f>
        <v>63.500000000000021</v>
      </c>
      <c r="B35">
        <f t="shared" si="0"/>
        <v>7.8655677059105547E-2</v>
      </c>
      <c r="C35">
        <f t="shared" si="1"/>
        <v>0.92134432294089441</v>
      </c>
      <c r="N35">
        <v>379.59058421126565</v>
      </c>
      <c r="O35">
        <v>0.2</v>
      </c>
      <c r="P35">
        <f>$B$4+$B$5*O35</f>
        <v>62.4</v>
      </c>
      <c r="Q35">
        <f>NORMDIST($B$12,P35,$B$5/SQRT(N35),TRUE)</f>
        <v>0.2001537173165929</v>
      </c>
      <c r="R35">
        <f>1-Q35</f>
        <v>0.79984628268340707</v>
      </c>
    </row>
    <row r="36" spans="1:18" x14ac:dyDescent="0.25">
      <c r="A36" s="52">
        <f t="shared" si="3"/>
        <v>63.600000000000023</v>
      </c>
      <c r="B36">
        <f t="shared" si="0"/>
        <v>6.6603720990058429E-2</v>
      </c>
      <c r="C36">
        <f t="shared" si="1"/>
        <v>0.9333962790099416</v>
      </c>
    </row>
    <row r="37" spans="1:18" x14ac:dyDescent="0.25">
      <c r="A37" s="52">
        <f t="shared" si="3"/>
        <v>63.700000000000024</v>
      </c>
      <c r="B37">
        <f t="shared" si="0"/>
        <v>5.6033170342996964E-2</v>
      </c>
      <c r="C37">
        <f t="shared" si="1"/>
        <v>0.94396682965700307</v>
      </c>
    </row>
    <row r="38" spans="1:18" x14ac:dyDescent="0.25">
      <c r="A38" s="52">
        <f t="shared" si="3"/>
        <v>63.800000000000026</v>
      </c>
      <c r="B38">
        <f t="shared" si="0"/>
        <v>4.6832440794893286E-2</v>
      </c>
      <c r="C38">
        <f t="shared" si="1"/>
        <v>0.95316755920510676</v>
      </c>
    </row>
    <row r="39" spans="1:18" x14ac:dyDescent="0.25">
      <c r="A39" s="52">
        <f t="shared" si="3"/>
        <v>63.900000000000027</v>
      </c>
      <c r="B39">
        <f t="shared" si="0"/>
        <v>3.8884923157158156E-2</v>
      </c>
      <c r="C39">
        <f t="shared" si="1"/>
        <v>0.96111507684284181</v>
      </c>
    </row>
    <row r="40" spans="1:18" x14ac:dyDescent="0.25">
      <c r="A40" s="52">
        <f t="shared" si="3"/>
        <v>64.000000000000028</v>
      </c>
      <c r="B40">
        <f t="shared" si="0"/>
        <v>3.2072128212725912E-2</v>
      </c>
      <c r="C40">
        <f t="shared" si="1"/>
        <v>0.96792787178727413</v>
      </c>
    </row>
    <row r="41" spans="1:18" x14ac:dyDescent="0.25">
      <c r="A41" s="52">
        <f t="shared" si="3"/>
        <v>64.100000000000023</v>
      </c>
      <c r="B41">
        <f t="shared" si="0"/>
        <v>2.6276457321778159E-2</v>
      </c>
      <c r="C41">
        <f t="shared" si="1"/>
        <v>0.97372354267822181</v>
      </c>
    </row>
    <row r="42" spans="1:18" x14ac:dyDescent="0.25">
      <c r="A42" s="52">
        <f t="shared" si="3"/>
        <v>64.200000000000017</v>
      </c>
      <c r="B42">
        <f t="shared" si="0"/>
        <v>2.1383553314302042E-2</v>
      </c>
      <c r="C42">
        <f t="shared" si="1"/>
        <v>0.97861644668569792</v>
      </c>
    </row>
    <row r="43" spans="1:18" x14ac:dyDescent="0.25">
      <c r="A43" s="52">
        <f>A42+0.1</f>
        <v>64.300000000000011</v>
      </c>
      <c r="B43">
        <f t="shared" si="0"/>
        <v>1.728421033419875E-2</v>
      </c>
      <c r="C43">
        <f t="shared" si="1"/>
        <v>0.9827157896658012</v>
      </c>
    </row>
    <row r="44" spans="1:18" x14ac:dyDescent="0.25">
      <c r="A44" s="142">
        <f>A43+0.1</f>
        <v>64.400000000000006</v>
      </c>
      <c r="B44" s="11">
        <f t="shared" si="0"/>
        <v>1.3875842979261017E-2</v>
      </c>
      <c r="C44" s="11">
        <f t="shared" si="1"/>
        <v>0.98612415702073897</v>
      </c>
    </row>
  </sheetData>
  <mergeCells count="2">
    <mergeCell ref="A3:B3"/>
    <mergeCell ref="A7:B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1"/>
  <dimension ref="A1:K38"/>
  <sheetViews>
    <sheetView workbookViewId="0"/>
  </sheetViews>
  <sheetFormatPr defaultRowHeight="15" x14ac:dyDescent="0.25"/>
  <cols>
    <col min="1" max="1" width="19" customWidth="1"/>
    <col min="3" max="3" width="3.42578125" customWidth="1"/>
    <col min="4" max="4" width="38.140625" customWidth="1"/>
    <col min="10" max="10" width="3.28515625" customWidth="1"/>
    <col min="11" max="11" width="30.5703125" customWidth="1"/>
  </cols>
  <sheetData>
    <row r="1" spans="1:9" x14ac:dyDescent="0.25">
      <c r="A1" s="1" t="s">
        <v>410</v>
      </c>
      <c r="I1" t="s">
        <v>754</v>
      </c>
    </row>
    <row r="3" spans="1:9" x14ac:dyDescent="0.25">
      <c r="A3" t="s">
        <v>405</v>
      </c>
      <c r="B3" s="293">
        <v>60</v>
      </c>
    </row>
    <row r="4" spans="1:9" x14ac:dyDescent="0.25">
      <c r="A4" t="s">
        <v>406</v>
      </c>
      <c r="B4" s="163">
        <v>12</v>
      </c>
    </row>
    <row r="5" spans="1:9" x14ac:dyDescent="0.25">
      <c r="A5" t="s">
        <v>114</v>
      </c>
      <c r="B5" s="163">
        <v>0.05</v>
      </c>
    </row>
    <row r="6" spans="1:9" x14ac:dyDescent="0.25">
      <c r="A6" t="s">
        <v>404</v>
      </c>
      <c r="B6" s="163">
        <v>110</v>
      </c>
    </row>
    <row r="7" spans="1:9" x14ac:dyDescent="0.25">
      <c r="A7" t="s">
        <v>411</v>
      </c>
      <c r="B7" s="163">
        <f>B4/SQRT(B6)</f>
        <v>1.1441551070947107</v>
      </c>
      <c r="D7" s="22" t="s">
        <v>412</v>
      </c>
    </row>
    <row r="8" spans="1:9" x14ac:dyDescent="0.25">
      <c r="A8" t="s">
        <v>409</v>
      </c>
      <c r="B8" s="163">
        <f>NORMINV(1-B5,B3,B7)</f>
        <v>61.881967677699784</v>
      </c>
      <c r="D8" s="22" t="s">
        <v>1054</v>
      </c>
    </row>
    <row r="9" spans="1:9" x14ac:dyDescent="0.25">
      <c r="A9" t="s">
        <v>302</v>
      </c>
      <c r="B9" s="163">
        <v>0.2</v>
      </c>
    </row>
    <row r="10" spans="1:9" x14ac:dyDescent="0.25">
      <c r="A10" t="s">
        <v>407</v>
      </c>
      <c r="B10" s="163">
        <f>B3+B9*B4</f>
        <v>62.4</v>
      </c>
      <c r="D10" s="22" t="s">
        <v>413</v>
      </c>
    </row>
    <row r="11" spans="1:9" x14ac:dyDescent="0.25">
      <c r="A11" t="s">
        <v>408</v>
      </c>
      <c r="B11" s="163">
        <f>NORMDIST(B8,B10,B7,TRUE)</f>
        <v>0.32535931951029284</v>
      </c>
      <c r="D11" s="22" t="s">
        <v>1055</v>
      </c>
    </row>
    <row r="12" spans="1:9" x14ac:dyDescent="0.25">
      <c r="A12" t="s">
        <v>112</v>
      </c>
      <c r="B12" s="155">
        <f>1-B11</f>
        <v>0.67464068048970716</v>
      </c>
      <c r="D12" s="22" t="s">
        <v>414</v>
      </c>
    </row>
    <row r="14" spans="1:9" x14ac:dyDescent="0.25">
      <c r="A14" s="1" t="s">
        <v>1058</v>
      </c>
    </row>
    <row r="16" spans="1:9" x14ac:dyDescent="0.25">
      <c r="A16" t="s">
        <v>564</v>
      </c>
      <c r="B16" s="293">
        <v>0.2</v>
      </c>
    </row>
    <row r="17" spans="1:11" x14ac:dyDescent="0.25">
      <c r="A17" t="s">
        <v>262</v>
      </c>
      <c r="B17" s="163">
        <v>0.05</v>
      </c>
    </row>
    <row r="18" spans="1:11" x14ac:dyDescent="0.25">
      <c r="A18" t="s">
        <v>396</v>
      </c>
      <c r="B18" s="163">
        <v>110</v>
      </c>
    </row>
    <row r="19" spans="1:11" x14ac:dyDescent="0.25">
      <c r="A19" t="s">
        <v>357</v>
      </c>
      <c r="B19" s="163">
        <f>NORMSINV(1-B17)</f>
        <v>1.6448536269514715</v>
      </c>
      <c r="D19" s="22" t="s">
        <v>1056</v>
      </c>
    </row>
    <row r="20" spans="1:11" x14ac:dyDescent="0.25">
      <c r="A20" t="s">
        <v>397</v>
      </c>
      <c r="B20" s="155">
        <f>NORMSDIST(B16*SQRT(B18)-B19)</f>
        <v>0.67464068048970749</v>
      </c>
      <c r="D20" s="22" t="s">
        <v>1057</v>
      </c>
      <c r="I20" s="205" t="e">
        <f ca="1">NORM1_POWER(B16,B18,1,B17)</f>
        <v>#NAME?</v>
      </c>
      <c r="K20" t="e">
        <f ca="1">FTEXT(I20)</f>
        <v>#NAME?</v>
      </c>
    </row>
    <row r="22" spans="1:11" x14ac:dyDescent="0.25">
      <c r="A22" s="1" t="s">
        <v>1060</v>
      </c>
    </row>
    <row r="24" spans="1:11" x14ac:dyDescent="0.25">
      <c r="A24" t="s">
        <v>397</v>
      </c>
      <c r="B24" s="293">
        <v>0.8</v>
      </c>
    </row>
    <row r="25" spans="1:11" x14ac:dyDescent="0.25">
      <c r="A25" t="s">
        <v>262</v>
      </c>
      <c r="B25" s="163">
        <v>0.05</v>
      </c>
    </row>
    <row r="26" spans="1:11" x14ac:dyDescent="0.25">
      <c r="A26" t="s">
        <v>396</v>
      </c>
      <c r="B26" s="163">
        <f>B18</f>
        <v>110</v>
      </c>
    </row>
    <row r="27" spans="1:11" x14ac:dyDescent="0.25">
      <c r="A27" t="s">
        <v>562</v>
      </c>
      <c r="B27" s="163">
        <f>NORMSINV(1-B25)</f>
        <v>1.6448536269514715</v>
      </c>
      <c r="D27" s="22" t="s">
        <v>1061</v>
      </c>
    </row>
    <row r="28" spans="1:11" x14ac:dyDescent="0.25">
      <c r="A28" t="s">
        <v>563</v>
      </c>
      <c r="B28" s="163">
        <f>NORMSINV(1-B24)</f>
        <v>-0.84162123357291474</v>
      </c>
      <c r="D28" s="22" t="s">
        <v>1062</v>
      </c>
    </row>
    <row r="29" spans="1:11" x14ac:dyDescent="0.25">
      <c r="A29" t="s">
        <v>564</v>
      </c>
      <c r="B29" s="155">
        <f>(B27-B28)/SQRT(B26)</f>
        <v>0.23707607586096544</v>
      </c>
      <c r="D29" s="22" t="e">
        <f ca="1">FTEXT(B29)</f>
        <v>#NAME?</v>
      </c>
    </row>
    <row r="31" spans="1:11" x14ac:dyDescent="0.25">
      <c r="A31" s="1" t="s">
        <v>1059</v>
      </c>
    </row>
    <row r="33" spans="1:11" x14ac:dyDescent="0.25">
      <c r="A33" t="s">
        <v>397</v>
      </c>
      <c r="B33" s="293">
        <v>0.8</v>
      </c>
    </row>
    <row r="34" spans="1:11" x14ac:dyDescent="0.25">
      <c r="A34" t="s">
        <v>262</v>
      </c>
      <c r="B34" s="163">
        <v>0.05</v>
      </c>
    </row>
    <row r="35" spans="1:11" x14ac:dyDescent="0.25">
      <c r="A35" t="s">
        <v>564</v>
      </c>
      <c r="B35" s="163">
        <v>0.2</v>
      </c>
    </row>
    <row r="36" spans="1:11" x14ac:dyDescent="0.25">
      <c r="A36" t="s">
        <v>562</v>
      </c>
      <c r="B36" s="163">
        <f>NORMSINV(1-B34)</f>
        <v>1.6448536269514715</v>
      </c>
      <c r="D36" s="22" t="s">
        <v>1061</v>
      </c>
    </row>
    <row r="37" spans="1:11" x14ac:dyDescent="0.25">
      <c r="A37" t="s">
        <v>563</v>
      </c>
      <c r="B37" s="163">
        <f>NORMSINV(1-B33)</f>
        <v>-0.84162123357291474</v>
      </c>
      <c r="D37" s="22" t="s">
        <v>1062</v>
      </c>
    </row>
    <row r="38" spans="1:11" x14ac:dyDescent="0.25">
      <c r="A38" t="s">
        <v>396</v>
      </c>
      <c r="B38" s="155">
        <f>((B36-B37)/B35)^2</f>
        <v>154.56393080049412</v>
      </c>
      <c r="D38" s="22" t="e">
        <f ca="1">FTEXT(B38)</f>
        <v>#NAME?</v>
      </c>
      <c r="I38" s="205" t="e">
        <f ca="1">NORM1_SIZE(B35,B33,1,B34)</f>
        <v>#NAME?</v>
      </c>
      <c r="K38" t="e">
        <f ca="1">FTEXT(I38)</f>
        <v>#NAME?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9"/>
  <dimension ref="A1:K26"/>
  <sheetViews>
    <sheetView workbookViewId="0"/>
  </sheetViews>
  <sheetFormatPr defaultRowHeight="15" x14ac:dyDescent="0.25"/>
  <cols>
    <col min="1" max="1" width="19" customWidth="1"/>
    <col min="3" max="3" width="3.42578125" customWidth="1"/>
    <col min="4" max="4" width="23.42578125" customWidth="1"/>
    <col min="6" max="6" width="16.140625" customWidth="1"/>
    <col min="10" max="10" width="3.28515625" customWidth="1"/>
    <col min="11" max="11" width="27" customWidth="1"/>
  </cols>
  <sheetData>
    <row r="1" spans="1:11" x14ac:dyDescent="0.25">
      <c r="A1" s="1" t="s">
        <v>1058</v>
      </c>
      <c r="I1" t="s">
        <v>754</v>
      </c>
    </row>
    <row r="3" spans="1:11" x14ac:dyDescent="0.25">
      <c r="A3" t="s">
        <v>1063</v>
      </c>
      <c r="B3" s="293">
        <v>0.2</v>
      </c>
    </row>
    <row r="4" spans="1:11" x14ac:dyDescent="0.25">
      <c r="A4" t="s">
        <v>1065</v>
      </c>
      <c r="B4" s="163">
        <v>0.05</v>
      </c>
    </row>
    <row r="5" spans="1:11" x14ac:dyDescent="0.25">
      <c r="A5" t="s">
        <v>1064</v>
      </c>
      <c r="B5" s="163">
        <v>110</v>
      </c>
    </row>
    <row r="6" spans="1:11" x14ac:dyDescent="0.25">
      <c r="A6" t="s">
        <v>1072</v>
      </c>
      <c r="B6" s="163">
        <f>B3*SQRT(B5)</f>
        <v>2.0976176963403033</v>
      </c>
      <c r="D6" t="s">
        <v>1066</v>
      </c>
    </row>
    <row r="7" spans="1:11" x14ac:dyDescent="0.25">
      <c r="A7" t="s">
        <v>357</v>
      </c>
      <c r="B7" s="163">
        <f>NORMSINV(1-B4/2)</f>
        <v>1.9599639845400536</v>
      </c>
      <c r="D7" s="22" t="s">
        <v>1068</v>
      </c>
    </row>
    <row r="8" spans="1:11" x14ac:dyDescent="0.25">
      <c r="A8" t="s">
        <v>397</v>
      </c>
      <c r="B8" s="155">
        <f>NORMSDIST(B6-B7)+NORMSDIST(-B6-B7)</f>
        <v>0.55476773990607753</v>
      </c>
      <c r="D8" s="22" t="s">
        <v>1067</v>
      </c>
      <c r="I8" s="205" t="e">
        <f ca="1">NORM1_POWER(B3,B5,2,B4)</f>
        <v>#NAME?</v>
      </c>
      <c r="K8" t="e">
        <f ca="1">FTEXT(I8)</f>
        <v>#NAME?</v>
      </c>
    </row>
    <row r="10" spans="1:11" x14ac:dyDescent="0.25">
      <c r="A10" s="1" t="s">
        <v>1060</v>
      </c>
    </row>
    <row r="12" spans="1:11" x14ac:dyDescent="0.25">
      <c r="A12" t="s">
        <v>397</v>
      </c>
      <c r="B12" s="293">
        <v>0.8</v>
      </c>
    </row>
    <row r="13" spans="1:11" x14ac:dyDescent="0.25">
      <c r="A13" t="s">
        <v>262</v>
      </c>
      <c r="B13" s="163">
        <v>0.05</v>
      </c>
    </row>
    <row r="14" spans="1:11" x14ac:dyDescent="0.25">
      <c r="A14" t="s">
        <v>396</v>
      </c>
      <c r="B14" s="163">
        <f>B5</f>
        <v>110</v>
      </c>
    </row>
    <row r="15" spans="1:11" x14ac:dyDescent="0.25">
      <c r="A15" t="s">
        <v>562</v>
      </c>
      <c r="B15" s="163">
        <f>NORMSINV(1-B13/2)</f>
        <v>1.9599639845400536</v>
      </c>
      <c r="D15" s="22" t="s">
        <v>1470</v>
      </c>
    </row>
    <row r="16" spans="1:11" x14ac:dyDescent="0.25">
      <c r="A16" t="s">
        <v>563</v>
      </c>
      <c r="B16" s="163">
        <f>NORMSINV(1-B12)</f>
        <v>-0.84162123357291474</v>
      </c>
      <c r="D16" s="22" t="s">
        <v>1069</v>
      </c>
    </row>
    <row r="17" spans="1:11" x14ac:dyDescent="0.25">
      <c r="A17" t="s">
        <v>564</v>
      </c>
      <c r="B17" s="155">
        <f>(B15-B16)/SQRT(B14)</f>
        <v>0.26712066960541681</v>
      </c>
      <c r="D17" s="22" t="e">
        <f ca="1">FTEXT(B17)</f>
        <v>#NAME?</v>
      </c>
    </row>
    <row r="19" spans="1:11" x14ac:dyDescent="0.25">
      <c r="A19" s="1" t="s">
        <v>1059</v>
      </c>
    </row>
    <row r="21" spans="1:11" x14ac:dyDescent="0.25">
      <c r="A21" t="s">
        <v>397</v>
      </c>
      <c r="B21" s="293">
        <v>0.8</v>
      </c>
    </row>
    <row r="22" spans="1:11" x14ac:dyDescent="0.25">
      <c r="A22" t="s">
        <v>262</v>
      </c>
      <c r="B22" s="163">
        <v>0.05</v>
      </c>
    </row>
    <row r="23" spans="1:11" x14ac:dyDescent="0.25">
      <c r="A23" t="s">
        <v>564</v>
      </c>
      <c r="B23" s="163">
        <v>0.2</v>
      </c>
    </row>
    <row r="24" spans="1:11" x14ac:dyDescent="0.25">
      <c r="A24" t="s">
        <v>562</v>
      </c>
      <c r="B24" s="163">
        <f>NORMSINV(1-B22/2)</f>
        <v>1.9599639845400536</v>
      </c>
      <c r="D24" s="22" t="s">
        <v>1070</v>
      </c>
    </row>
    <row r="25" spans="1:11" x14ac:dyDescent="0.25">
      <c r="A25" t="s">
        <v>563</v>
      </c>
      <c r="B25" s="163">
        <f>NORMSINV(1-B21)</f>
        <v>-0.84162123357291474</v>
      </c>
      <c r="D25" s="22" t="s">
        <v>1071</v>
      </c>
    </row>
    <row r="26" spans="1:11" x14ac:dyDescent="0.25">
      <c r="A26" t="s">
        <v>396</v>
      </c>
      <c r="B26" s="155">
        <f>((B24-B25)/B23)^2</f>
        <v>196.22199335872716</v>
      </c>
      <c r="D26" s="22" t="e">
        <f ca="1">FTEXT(B26)</f>
        <v>#NAME?</v>
      </c>
      <c r="I26" s="205" t="e">
        <f ca="1">NORM1_SIZE(B23,B21,2,B22)</f>
        <v>#NAME?</v>
      </c>
      <c r="K26" t="e">
        <f ca="1">FTEXT(I26)</f>
        <v>#NAME?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K14"/>
  <sheetViews>
    <sheetView workbookViewId="0"/>
  </sheetViews>
  <sheetFormatPr defaultRowHeight="15" x14ac:dyDescent="0.25"/>
  <cols>
    <col min="6" max="6" width="4.42578125" customWidth="1"/>
    <col min="9" max="9" width="4.85546875" customWidth="1"/>
  </cols>
  <sheetData>
    <row r="1" spans="1:11" x14ac:dyDescent="0.25">
      <c r="A1" s="1" t="s">
        <v>1345</v>
      </c>
      <c r="D1" t="s">
        <v>1343</v>
      </c>
      <c r="G1" t="s">
        <v>363</v>
      </c>
      <c r="J1" t="s">
        <v>1344</v>
      </c>
    </row>
    <row r="3" spans="1:11" x14ac:dyDescent="0.25">
      <c r="A3" s="487" t="s">
        <v>814</v>
      </c>
      <c r="B3" s="487" t="s">
        <v>17</v>
      </c>
      <c r="D3" s="487" t="s">
        <v>814</v>
      </c>
      <c r="E3" s="487" t="s">
        <v>17</v>
      </c>
      <c r="G3" s="487" t="e">
        <f t="array" aca="1" ref="G3:H14" ca="1">QSORTRows(D3:E14,1,,TRUE)</f>
        <v>#NAME?</v>
      </c>
      <c r="H3" s="487" t="e">
        <f ca="1"/>
        <v>#NAME?</v>
      </c>
      <c r="J3" s="487" t="s">
        <v>814</v>
      </c>
      <c r="K3" s="487" t="s">
        <v>17</v>
      </c>
    </row>
    <row r="4" spans="1:11" x14ac:dyDescent="0.25">
      <c r="A4">
        <v>1</v>
      </c>
      <c r="B4">
        <v>5</v>
      </c>
      <c r="D4">
        <f t="shared" ref="D4:D9" si="0">A4</f>
        <v>1</v>
      </c>
      <c r="E4">
        <v>5</v>
      </c>
      <c r="G4" t="e">
        <f ca="1"/>
        <v>#NAME?</v>
      </c>
      <c r="H4" t="e">
        <f ca="1"/>
        <v>#NAME?</v>
      </c>
      <c r="J4" t="e">
        <f ca="1">G4</f>
        <v>#NAME?</v>
      </c>
      <c r="K4" t="e">
        <f ca="1">H4</f>
        <v>#NAME?</v>
      </c>
    </row>
    <row r="5" spans="1:11" x14ac:dyDescent="0.25">
      <c r="A5">
        <v>2</v>
      </c>
      <c r="B5">
        <v>7</v>
      </c>
      <c r="D5">
        <f t="shared" si="0"/>
        <v>2</v>
      </c>
      <c r="E5">
        <v>7</v>
      </c>
      <c r="G5" t="e">
        <f ca="1"/>
        <v>#NAME?</v>
      </c>
      <c r="H5" t="e">
        <f ca="1"/>
        <v>#NAME?</v>
      </c>
      <c r="J5" t="e">
        <f ca="1">G5</f>
        <v>#NAME?</v>
      </c>
      <c r="K5" t="e">
        <f ca="1">K4</f>
        <v>#NAME?</v>
      </c>
    </row>
    <row r="6" spans="1:11" x14ac:dyDescent="0.25">
      <c r="A6">
        <v>3</v>
      </c>
      <c r="B6">
        <v>4</v>
      </c>
      <c r="D6">
        <f t="shared" si="0"/>
        <v>3</v>
      </c>
      <c r="E6">
        <v>4</v>
      </c>
      <c r="G6" t="e">
        <f ca="1"/>
        <v>#NAME?</v>
      </c>
      <c r="H6" t="e">
        <f ca="1"/>
        <v>#NAME?</v>
      </c>
      <c r="J6" t="e">
        <f t="shared" ref="J6:J13" ca="1" si="1">G6</f>
        <v>#NAME?</v>
      </c>
      <c r="K6" t="e">
        <f ca="1">H6</f>
        <v>#NAME?</v>
      </c>
    </row>
    <row r="7" spans="1:11" x14ac:dyDescent="0.25">
      <c r="A7">
        <v>4</v>
      </c>
      <c r="B7">
        <v>8</v>
      </c>
      <c r="D7">
        <f t="shared" si="0"/>
        <v>4</v>
      </c>
      <c r="E7">
        <v>8</v>
      </c>
      <c r="G7" t="e">
        <f ca="1"/>
        <v>#NAME?</v>
      </c>
      <c r="H7" t="e">
        <f ca="1"/>
        <v>#NAME?</v>
      </c>
      <c r="J7" t="e">
        <f t="shared" ca="1" si="1"/>
        <v>#NAME?</v>
      </c>
      <c r="K7" t="e">
        <f ca="1">K6</f>
        <v>#NAME?</v>
      </c>
    </row>
    <row r="8" spans="1:11" x14ac:dyDescent="0.25">
      <c r="A8">
        <v>5</v>
      </c>
      <c r="B8">
        <v>10</v>
      </c>
      <c r="D8" s="8">
        <f t="shared" si="0"/>
        <v>5</v>
      </c>
      <c r="E8" s="8">
        <v>10</v>
      </c>
      <c r="F8" s="8"/>
      <c r="G8" s="8" t="e">
        <f ca="1"/>
        <v>#NAME?</v>
      </c>
      <c r="H8" s="8" t="e">
        <f ca="1"/>
        <v>#NAME?</v>
      </c>
      <c r="J8" t="e">
        <f t="shared" ca="1" si="1"/>
        <v>#NAME?</v>
      </c>
      <c r="K8" t="e">
        <f ca="1">H8</f>
        <v>#NAME?</v>
      </c>
    </row>
    <row r="9" spans="1:11" x14ac:dyDescent="0.25">
      <c r="A9" s="276">
        <v>6</v>
      </c>
      <c r="B9" s="276">
        <v>14</v>
      </c>
      <c r="D9" s="8">
        <f t="shared" si="0"/>
        <v>6</v>
      </c>
      <c r="E9" s="8">
        <v>14</v>
      </c>
      <c r="F9" s="8"/>
      <c r="G9" s="8" t="e">
        <f ca="1"/>
        <v>#NAME?</v>
      </c>
      <c r="H9" s="8" t="e">
        <f ca="1"/>
        <v>#NAME?</v>
      </c>
      <c r="J9" t="e">
        <f t="shared" ca="1" si="1"/>
        <v>#NAME?</v>
      </c>
      <c r="K9" t="e">
        <f ca="1">K8</f>
        <v>#NAME?</v>
      </c>
    </row>
    <row r="10" spans="1:11" x14ac:dyDescent="0.25">
      <c r="D10" s="8">
        <f>A5</f>
        <v>2</v>
      </c>
      <c r="E10" s="8">
        <v>7</v>
      </c>
      <c r="F10" s="8"/>
      <c r="G10" s="8" t="e">
        <f ca="1"/>
        <v>#NAME?</v>
      </c>
      <c r="H10" s="8" t="e">
        <f ca="1"/>
        <v>#NAME?</v>
      </c>
      <c r="J10" t="e">
        <f t="shared" ca="1" si="1"/>
        <v>#NAME?</v>
      </c>
      <c r="K10" t="e">
        <f ca="1">H10</f>
        <v>#NAME?</v>
      </c>
    </row>
    <row r="11" spans="1:11" x14ac:dyDescent="0.25">
      <c r="D11" s="8">
        <f>A6</f>
        <v>3</v>
      </c>
      <c r="E11" s="8">
        <v>4</v>
      </c>
      <c r="F11" s="8"/>
      <c r="G11" s="8" t="e">
        <f ca="1"/>
        <v>#NAME?</v>
      </c>
      <c r="H11" s="8" t="e">
        <f ca="1"/>
        <v>#NAME?</v>
      </c>
      <c r="J11" t="e">
        <f t="shared" ca="1" si="1"/>
        <v>#NAME?</v>
      </c>
      <c r="K11" t="e">
        <f ca="1">K10</f>
        <v>#NAME?</v>
      </c>
    </row>
    <row r="12" spans="1:11" x14ac:dyDescent="0.25">
      <c r="D12" s="8">
        <f>A7</f>
        <v>4</v>
      </c>
      <c r="E12" s="8">
        <v>8</v>
      </c>
      <c r="F12" s="8"/>
      <c r="G12" s="8" t="e">
        <f ca="1"/>
        <v>#NAME?</v>
      </c>
      <c r="H12" s="8" t="e">
        <f ca="1"/>
        <v>#NAME?</v>
      </c>
      <c r="J12" t="e">
        <f t="shared" ca="1" si="1"/>
        <v>#NAME?</v>
      </c>
      <c r="K12" t="e">
        <f ca="1">H12</f>
        <v>#NAME?</v>
      </c>
    </row>
    <row r="13" spans="1:11" x14ac:dyDescent="0.25">
      <c r="D13">
        <f>A8</f>
        <v>5</v>
      </c>
      <c r="E13">
        <v>10</v>
      </c>
      <c r="G13" t="e">
        <f ca="1"/>
        <v>#NAME?</v>
      </c>
      <c r="H13" t="e">
        <f ca="1"/>
        <v>#NAME?</v>
      </c>
      <c r="J13" t="e">
        <f t="shared" ca="1" si="1"/>
        <v>#NAME?</v>
      </c>
      <c r="K13" t="e">
        <f ca="1">K12</f>
        <v>#NAME?</v>
      </c>
    </row>
    <row r="14" spans="1:11" x14ac:dyDescent="0.25">
      <c r="D14" s="276">
        <f>A9</f>
        <v>6</v>
      </c>
      <c r="E14" s="276">
        <v>14</v>
      </c>
      <c r="G14" s="276" t="e">
        <f ca="1"/>
        <v>#NAME?</v>
      </c>
      <c r="H14" s="276" t="e">
        <f ca="1"/>
        <v>#NAME?</v>
      </c>
      <c r="J14" s="276" t="e">
        <f ca="1">G14</f>
        <v>#NAME?</v>
      </c>
      <c r="K14" s="276">
        <v>14</v>
      </c>
    </row>
  </sheetData>
  <pageMargins left="0.7" right="0.7" top="0.75" bottom="0.75" header="0.3" footer="0.3"/>
  <ignoredErrors>
    <ignoredError sqref="K5:K11" formula="1"/>
  </ignoredErrors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0"/>
  <dimension ref="A1:L19"/>
  <sheetViews>
    <sheetView workbookViewId="0"/>
  </sheetViews>
  <sheetFormatPr defaultRowHeight="15" x14ac:dyDescent="0.25"/>
  <cols>
    <col min="1" max="6" width="7.42578125" customWidth="1"/>
    <col min="7" max="7" width="6.42578125" customWidth="1"/>
    <col min="8" max="8" width="15.85546875" customWidth="1"/>
    <col min="11" max="11" width="3" customWidth="1"/>
    <col min="12" max="12" width="52.28515625" customWidth="1"/>
  </cols>
  <sheetData>
    <row r="1" spans="1:12" x14ac:dyDescent="0.25">
      <c r="A1" s="1" t="s">
        <v>1077</v>
      </c>
      <c r="H1" t="s">
        <v>1080</v>
      </c>
    </row>
    <row r="2" spans="1:12" x14ac:dyDescent="0.25">
      <c r="A2" s="1"/>
    </row>
    <row r="3" spans="1:12" x14ac:dyDescent="0.25">
      <c r="A3" s="596" t="s">
        <v>218</v>
      </c>
      <c r="B3" s="596"/>
      <c r="C3" s="596"/>
      <c r="D3" s="596" t="s">
        <v>482</v>
      </c>
      <c r="E3" s="596"/>
      <c r="F3" s="596"/>
      <c r="I3" t="s">
        <v>218</v>
      </c>
      <c r="J3" t="s">
        <v>482</v>
      </c>
    </row>
    <row r="4" spans="1:12" x14ac:dyDescent="0.25">
      <c r="A4" s="183">
        <v>82.67</v>
      </c>
      <c r="B4" s="184">
        <v>89.03</v>
      </c>
      <c r="C4" s="184">
        <v>109.13</v>
      </c>
      <c r="D4" s="183">
        <v>106.18</v>
      </c>
      <c r="E4" s="184">
        <v>95.47</v>
      </c>
      <c r="F4" s="185">
        <v>117.51</v>
      </c>
      <c r="H4" t="s">
        <v>396</v>
      </c>
      <c r="I4" s="316">
        <f>COUNT(A4:C13)</f>
        <v>30</v>
      </c>
      <c r="J4" s="317">
        <f>COUNT(D4:F13)</f>
        <v>30</v>
      </c>
      <c r="K4" s="8"/>
    </row>
    <row r="5" spans="1:12" x14ac:dyDescent="0.25">
      <c r="A5" s="186">
        <v>90.11</v>
      </c>
      <c r="B5" s="77">
        <v>94.51</v>
      </c>
      <c r="C5" s="77">
        <v>81.59</v>
      </c>
      <c r="D5" s="186">
        <v>100.86</v>
      </c>
      <c r="E5" s="77">
        <v>108.66</v>
      </c>
      <c r="F5" s="187">
        <v>115.64</v>
      </c>
      <c r="H5" t="s">
        <v>403</v>
      </c>
      <c r="I5" s="186">
        <f>AVERAGE(A4:C13)</f>
        <v>95.737333333333339</v>
      </c>
      <c r="J5" s="187">
        <f>AVERAGE(D4:F13)</f>
        <v>106.691</v>
      </c>
      <c r="K5" s="77"/>
    </row>
    <row r="6" spans="1:12" x14ac:dyDescent="0.25">
      <c r="A6" s="186">
        <v>89.2</v>
      </c>
      <c r="B6" s="77">
        <v>93.32</v>
      </c>
      <c r="C6" s="77">
        <v>94.99</v>
      </c>
      <c r="D6" s="186">
        <v>129.85</v>
      </c>
      <c r="E6" s="77">
        <v>83.32</v>
      </c>
      <c r="F6" s="187">
        <v>97.22</v>
      </c>
      <c r="H6" t="s">
        <v>463</v>
      </c>
      <c r="I6" s="397">
        <v>16</v>
      </c>
      <c r="J6" s="398">
        <v>16</v>
      </c>
    </row>
    <row r="7" spans="1:12" x14ac:dyDescent="0.25">
      <c r="A7" s="186">
        <v>119.15</v>
      </c>
      <c r="B7" s="77">
        <v>89.26</v>
      </c>
      <c r="C7" s="77">
        <v>101.34</v>
      </c>
      <c r="D7" s="186">
        <v>100.3</v>
      </c>
      <c r="E7" s="77">
        <v>117.64</v>
      </c>
      <c r="F7" s="187">
        <v>131.04</v>
      </c>
      <c r="L7" s="8"/>
    </row>
    <row r="8" spans="1:12" x14ac:dyDescent="0.25">
      <c r="A8" s="186">
        <v>83.01</v>
      </c>
      <c r="B8" s="77">
        <v>110.36</v>
      </c>
      <c r="C8" s="77">
        <v>104.82</v>
      </c>
      <c r="D8" s="186">
        <v>87.56</v>
      </c>
      <c r="E8" s="77">
        <v>96.9</v>
      </c>
      <c r="F8" s="187">
        <v>101.58</v>
      </c>
      <c r="H8" t="s">
        <v>262</v>
      </c>
      <c r="I8" s="315">
        <v>0.05</v>
      </c>
      <c r="L8" s="77"/>
    </row>
    <row r="9" spans="1:12" x14ac:dyDescent="0.25">
      <c r="A9" s="186">
        <v>93.61</v>
      </c>
      <c r="B9" s="77">
        <v>92.52</v>
      </c>
      <c r="C9" s="77">
        <v>106.92</v>
      </c>
      <c r="D9" s="186">
        <v>96.87</v>
      </c>
      <c r="E9" s="77">
        <v>66.459999999999994</v>
      </c>
      <c r="F9" s="187">
        <v>103.8</v>
      </c>
      <c r="H9" t="s">
        <v>484</v>
      </c>
      <c r="I9" s="163">
        <f>I6^2/I4+J6^2/J4</f>
        <v>17.066666666666666</v>
      </c>
      <c r="L9" s="22" t="e">
        <f ca="1">FTEXT(I9)</f>
        <v>#NAME?</v>
      </c>
    </row>
    <row r="10" spans="1:12" x14ac:dyDescent="0.25">
      <c r="A10" s="186">
        <v>88.42</v>
      </c>
      <c r="B10" s="77">
        <v>112.87</v>
      </c>
      <c r="C10" s="77">
        <v>80.5</v>
      </c>
      <c r="D10" s="186">
        <v>112.57</v>
      </c>
      <c r="E10" s="77">
        <v>87.8</v>
      </c>
      <c r="F10" s="187">
        <v>111.99</v>
      </c>
      <c r="H10" t="s">
        <v>485</v>
      </c>
      <c r="I10" s="163">
        <f>SQRT(I9)</f>
        <v>4.1311822359545776</v>
      </c>
      <c r="L10" s="22" t="e">
        <f ca="1">FTEXT(I10)</f>
        <v>#NAME?</v>
      </c>
    </row>
    <row r="11" spans="1:12" x14ac:dyDescent="0.25">
      <c r="A11" s="186">
        <v>97.02</v>
      </c>
      <c r="B11" s="77">
        <v>64.05</v>
      </c>
      <c r="C11" s="77">
        <v>106.31</v>
      </c>
      <c r="D11" s="186">
        <v>148.36000000000001</v>
      </c>
      <c r="E11" s="77">
        <v>115.52</v>
      </c>
      <c r="F11" s="187">
        <v>119.34</v>
      </c>
      <c r="H11" t="s">
        <v>1073</v>
      </c>
      <c r="I11" s="155">
        <f>(J5-I5)/I10</f>
        <v>2.6514605362442061</v>
      </c>
      <c r="L11" s="22" t="e">
        <f ca="1">FTEXT(I11)</f>
        <v>#NAME?</v>
      </c>
    </row>
    <row r="12" spans="1:12" x14ac:dyDescent="0.25">
      <c r="A12" s="186">
        <v>126.11</v>
      </c>
      <c r="B12" s="77">
        <v>80.06</v>
      </c>
      <c r="C12" s="77">
        <v>85.46</v>
      </c>
      <c r="D12" s="186">
        <v>131.62</v>
      </c>
      <c r="E12" s="77">
        <v>102.34</v>
      </c>
      <c r="F12" s="187">
        <v>95.1</v>
      </c>
    </row>
    <row r="13" spans="1:12" x14ac:dyDescent="0.25">
      <c r="A13" s="188">
        <v>127.96</v>
      </c>
      <c r="B13" s="189">
        <v>74.13</v>
      </c>
      <c r="C13" s="189">
        <v>103.69</v>
      </c>
      <c r="D13" s="188">
        <v>114.6</v>
      </c>
      <c r="E13" s="189">
        <v>97.01</v>
      </c>
      <c r="F13" s="190">
        <v>107.62</v>
      </c>
      <c r="H13" t="s">
        <v>394</v>
      </c>
      <c r="I13" s="389" t="s">
        <v>1074</v>
      </c>
      <c r="J13" s="389" t="s">
        <v>1075</v>
      </c>
      <c r="K13" s="389"/>
    </row>
    <row r="14" spans="1:12" x14ac:dyDescent="0.25">
      <c r="H14" t="s">
        <v>357</v>
      </c>
      <c r="I14" s="316">
        <f>NORMSINV(1-I8)</f>
        <v>1.6448536269514715</v>
      </c>
      <c r="J14" s="439">
        <f>NORMSINV(1-I8/2)</f>
        <v>1.9599639845400536</v>
      </c>
      <c r="K14" s="8"/>
      <c r="L14" s="22" t="s">
        <v>1078</v>
      </c>
    </row>
    <row r="15" spans="1:12" x14ac:dyDescent="0.25">
      <c r="H15" t="s">
        <v>1076</v>
      </c>
      <c r="I15" s="148">
        <f>NORMSDIST(I11-I14)</f>
        <v>0.84293814357296581</v>
      </c>
      <c r="J15" s="155">
        <f>NORMSDIST(I11-J14)+NORMSDIST(-I11-J14)</f>
        <v>0.75537522610363572</v>
      </c>
      <c r="K15" s="8"/>
      <c r="L15" s="22" t="s">
        <v>1079</v>
      </c>
    </row>
    <row r="17" spans="8:12" x14ac:dyDescent="0.25">
      <c r="H17" t="s">
        <v>754</v>
      </c>
    </row>
    <row r="18" spans="8:12" x14ac:dyDescent="0.25">
      <c r="I18" t="s">
        <v>1074</v>
      </c>
      <c r="J18" s="439" t="e">
        <f ca="1">NORM2_POWER(J5-I5,I6,J6,I4,,1)</f>
        <v>#NAME?</v>
      </c>
      <c r="L18" t="e">
        <f ca="1">FTEXT(J18)</f>
        <v>#NAME?</v>
      </c>
    </row>
    <row r="19" spans="8:12" x14ac:dyDescent="0.25">
      <c r="I19" t="s">
        <v>1075</v>
      </c>
      <c r="J19" s="155" t="e">
        <f ca="1">NORM2_POWER(J5-I5,I6,J6,J4)</f>
        <v>#NAME?</v>
      </c>
      <c r="L19" t="e">
        <f ca="1">FTEXT(J19)</f>
        <v>#NAME?</v>
      </c>
    </row>
  </sheetData>
  <mergeCells count="2">
    <mergeCell ref="A3:C3"/>
    <mergeCell ref="D3:F3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1"/>
  <dimension ref="A1:I49"/>
  <sheetViews>
    <sheetView workbookViewId="0"/>
  </sheetViews>
  <sheetFormatPr defaultRowHeight="15" x14ac:dyDescent="0.25"/>
  <cols>
    <col min="1" max="1" width="15.85546875" customWidth="1"/>
    <col min="4" max="4" width="3" customWidth="1"/>
    <col min="5" max="5" width="30" customWidth="1"/>
    <col min="8" max="8" width="3.28515625" customWidth="1"/>
    <col min="9" max="9" width="39.28515625" customWidth="1"/>
  </cols>
  <sheetData>
    <row r="1" spans="1:7" x14ac:dyDescent="0.25">
      <c r="A1" s="1" t="s">
        <v>1084</v>
      </c>
      <c r="G1" t="s">
        <v>1002</v>
      </c>
    </row>
    <row r="3" spans="1:7" x14ac:dyDescent="0.25">
      <c r="B3" t="s">
        <v>96</v>
      </c>
      <c r="C3" t="s">
        <v>97</v>
      </c>
    </row>
    <row r="4" spans="1:7" x14ac:dyDescent="0.25">
      <c r="A4" t="s">
        <v>396</v>
      </c>
      <c r="B4" s="156">
        <v>50</v>
      </c>
      <c r="C4" s="172">
        <v>60</v>
      </c>
      <c r="D4" s="8"/>
    </row>
    <row r="5" spans="1:7" x14ac:dyDescent="0.25">
      <c r="A5" t="s">
        <v>1081</v>
      </c>
      <c r="B5" s="188">
        <v>5</v>
      </c>
      <c r="C5" s="190">
        <v>8</v>
      </c>
      <c r="D5" s="77"/>
    </row>
    <row r="7" spans="1:7" x14ac:dyDescent="0.25">
      <c r="A7" t="s">
        <v>485</v>
      </c>
      <c r="B7" s="315">
        <f>SQRT(B5^2/B4+C5^2/C4)</f>
        <v>1.2516655570345725</v>
      </c>
      <c r="E7" s="8" t="e">
        <f ca="1">FTEXT(B7)</f>
        <v>#NAME?</v>
      </c>
    </row>
    <row r="8" spans="1:7" x14ac:dyDescent="0.25">
      <c r="A8" t="s">
        <v>262</v>
      </c>
      <c r="B8" s="163">
        <v>0.05</v>
      </c>
      <c r="E8" s="8"/>
    </row>
    <row r="9" spans="1:7" x14ac:dyDescent="0.25">
      <c r="A9" t="s">
        <v>1076</v>
      </c>
      <c r="B9" s="163">
        <v>0.8</v>
      </c>
      <c r="E9" s="8"/>
    </row>
    <row r="10" spans="1:7" x14ac:dyDescent="0.25">
      <c r="A10" t="s">
        <v>563</v>
      </c>
      <c r="B10" s="155">
        <f>NORMSINV(1-B9)</f>
        <v>-0.84162123357291474</v>
      </c>
      <c r="E10" s="294" t="s">
        <v>1166</v>
      </c>
    </row>
    <row r="11" spans="1:7" x14ac:dyDescent="0.25">
      <c r="E11" s="8" t="e">
        <f ca="1">FTEXT(B11)</f>
        <v>#NAME?</v>
      </c>
    </row>
    <row r="12" spans="1:7" x14ac:dyDescent="0.25">
      <c r="A12" t="s">
        <v>394</v>
      </c>
      <c r="B12" s="389" t="s">
        <v>1074</v>
      </c>
      <c r="C12" s="389" t="s">
        <v>1075</v>
      </c>
      <c r="D12" s="389"/>
      <c r="E12" s="8"/>
    </row>
    <row r="13" spans="1:7" x14ac:dyDescent="0.25">
      <c r="A13" t="s">
        <v>562</v>
      </c>
      <c r="B13" s="316">
        <f>NORMSINV(1-B8)</f>
        <v>1.6448536269514715</v>
      </c>
      <c r="C13" s="315">
        <f>NORMSINV(1-B8/2)</f>
        <v>1.9599639845400536</v>
      </c>
      <c r="D13" s="8"/>
      <c r="E13" s="294" t="s">
        <v>1264</v>
      </c>
    </row>
    <row r="14" spans="1:7" x14ac:dyDescent="0.25">
      <c r="A14" t="s">
        <v>1073</v>
      </c>
      <c r="B14" s="166">
        <f>B13-B10</f>
        <v>2.4864748605243863</v>
      </c>
      <c r="C14" s="163">
        <f>C13-B10</f>
        <v>2.8015852181129683</v>
      </c>
      <c r="D14" s="8"/>
      <c r="E14" s="8" t="e">
        <f ca="1">FTEXT(B14)</f>
        <v>#NAME?</v>
      </c>
    </row>
    <row r="15" spans="1:7" x14ac:dyDescent="0.25">
      <c r="A15" t="s">
        <v>1082</v>
      </c>
      <c r="B15" s="148">
        <f>B14*B7</f>
        <v>3.1122349413507169</v>
      </c>
      <c r="C15" s="155">
        <f>C14*B7</f>
        <v>3.506647722609193</v>
      </c>
      <c r="D15" s="8"/>
      <c r="E15" s="8" t="e">
        <f ca="1">FTEXT(B15)</f>
        <v>#NAME?</v>
      </c>
    </row>
    <row r="16" spans="1:7" x14ac:dyDescent="0.25">
      <c r="E16" s="22"/>
    </row>
    <row r="18" spans="1:9" x14ac:dyDescent="0.25">
      <c r="A18" s="1" t="s">
        <v>1083</v>
      </c>
    </row>
    <row r="20" spans="1:9" x14ac:dyDescent="0.25">
      <c r="B20" t="s">
        <v>96</v>
      </c>
      <c r="C20" t="s">
        <v>97</v>
      </c>
    </row>
    <row r="21" spans="1:9" x14ac:dyDescent="0.25">
      <c r="A21" t="s">
        <v>1081</v>
      </c>
      <c r="B21" s="392">
        <v>3.2</v>
      </c>
      <c r="C21" s="393">
        <v>3.2</v>
      </c>
    </row>
    <row r="23" spans="1:9" x14ac:dyDescent="0.25">
      <c r="A23" t="s">
        <v>262</v>
      </c>
      <c r="B23" s="315">
        <v>0.05</v>
      </c>
    </row>
    <row r="24" spans="1:9" x14ac:dyDescent="0.25">
      <c r="A24" t="s">
        <v>1076</v>
      </c>
      <c r="B24" s="163">
        <v>0.8</v>
      </c>
    </row>
    <row r="25" spans="1:9" x14ac:dyDescent="0.25">
      <c r="A25" t="s">
        <v>563</v>
      </c>
      <c r="B25" s="163">
        <f>NORMSINV(1-B24)</f>
        <v>-0.84162123357291474</v>
      </c>
      <c r="E25" s="22" t="s">
        <v>1062</v>
      </c>
    </row>
    <row r="26" spans="1:9" x14ac:dyDescent="0.25">
      <c r="A26" t="s">
        <v>1082</v>
      </c>
      <c r="B26" s="163">
        <v>1.5</v>
      </c>
    </row>
    <row r="27" spans="1:9" x14ac:dyDescent="0.25">
      <c r="A27" t="s">
        <v>928</v>
      </c>
      <c r="B27" s="394">
        <v>1</v>
      </c>
    </row>
    <row r="28" spans="1:9" x14ac:dyDescent="0.25">
      <c r="E28" t="e">
        <f ca="1">FTEXT(B28)</f>
        <v>#NAME?</v>
      </c>
    </row>
    <row r="29" spans="1:9" x14ac:dyDescent="0.25">
      <c r="A29" t="s">
        <v>394</v>
      </c>
      <c r="B29" s="389" t="s">
        <v>1074</v>
      </c>
      <c r="C29" s="389" t="s">
        <v>1075</v>
      </c>
    </row>
    <row r="30" spans="1:9" x14ac:dyDescent="0.25">
      <c r="A30" t="s">
        <v>562</v>
      </c>
      <c r="B30" s="316">
        <f>NORMSINV(1-B23)</f>
        <v>1.6448536269514715</v>
      </c>
      <c r="C30" s="315">
        <f>NORMSINV(1-B23/2)</f>
        <v>1.9599639845400536</v>
      </c>
      <c r="E30" s="22" t="s">
        <v>1167</v>
      </c>
    </row>
    <row r="31" spans="1:9" x14ac:dyDescent="0.25">
      <c r="A31" t="s">
        <v>1073</v>
      </c>
      <c r="B31" s="166">
        <f>B30-B25</f>
        <v>2.4864748605243863</v>
      </c>
      <c r="C31" s="163">
        <f>C30-B25</f>
        <v>2.8015852181129683</v>
      </c>
      <c r="E31" t="e">
        <f ca="1">FTEXT(B31)</f>
        <v>#NAME?</v>
      </c>
    </row>
    <row r="32" spans="1:9" x14ac:dyDescent="0.25">
      <c r="A32" t="s">
        <v>247</v>
      </c>
      <c r="B32" s="166">
        <f>(B31/B26)^2*(B21^2+C21^2/B27)</f>
        <v>56.275009827451044</v>
      </c>
      <c r="C32" s="163">
        <f>(C31/B26)^2*(B21^2+C21^2/B27)</f>
        <v>71.442247537541945</v>
      </c>
      <c r="E32" t="e">
        <f ca="1">FTEXT(B32)</f>
        <v>#NAME?</v>
      </c>
      <c r="G32" s="315" t="e">
        <f ca="1">NORM2_SIZE(B26,B21,C21,B24,1)</f>
        <v>#NAME?</v>
      </c>
      <c r="I32" t="e">
        <f ca="1">FTEXT(G32)</f>
        <v>#NAME?</v>
      </c>
    </row>
    <row r="33" spans="1:9" x14ac:dyDescent="0.25">
      <c r="A33" t="s">
        <v>248</v>
      </c>
      <c r="B33" s="148">
        <f>B27*B32</f>
        <v>56.275009827451044</v>
      </c>
      <c r="C33" s="155">
        <f>B27*C32</f>
        <v>71.442247537541945</v>
      </c>
      <c r="E33" t="e">
        <f ca="1">FTEXT(B33)</f>
        <v>#NAME?</v>
      </c>
      <c r="G33" s="155" t="e">
        <f ca="1">NORM2_SIZE(B26,B21,C21)</f>
        <v>#NAME?</v>
      </c>
      <c r="I33" t="e">
        <f ca="1">FTEXT(G33)</f>
        <v>#NAME?</v>
      </c>
    </row>
    <row r="35" spans="1:9" x14ac:dyDescent="0.25">
      <c r="A35" t="s">
        <v>1085</v>
      </c>
    </row>
    <row r="37" spans="1:9" x14ac:dyDescent="0.25">
      <c r="B37" t="s">
        <v>96</v>
      </c>
      <c r="C37" t="s">
        <v>97</v>
      </c>
    </row>
    <row r="38" spans="1:9" x14ac:dyDescent="0.25">
      <c r="A38" t="s">
        <v>1081</v>
      </c>
      <c r="B38" s="395">
        <v>3.2</v>
      </c>
      <c r="C38" s="396">
        <v>3.2</v>
      </c>
    </row>
    <row r="39" spans="1:9" x14ac:dyDescent="0.25">
      <c r="A39" t="s">
        <v>248</v>
      </c>
      <c r="B39" s="336">
        <v>57</v>
      </c>
      <c r="C39" s="338">
        <v>72</v>
      </c>
    </row>
    <row r="41" spans="1:9" x14ac:dyDescent="0.25">
      <c r="A41" t="s">
        <v>262</v>
      </c>
      <c r="B41" s="315">
        <v>0.05</v>
      </c>
    </row>
    <row r="42" spans="1:9" x14ac:dyDescent="0.25">
      <c r="A42" t="s">
        <v>1076</v>
      </c>
      <c r="B42" s="163">
        <v>0.8</v>
      </c>
    </row>
    <row r="43" spans="1:9" x14ac:dyDescent="0.25">
      <c r="A43" t="s">
        <v>563</v>
      </c>
      <c r="B43" s="163">
        <f>NORMSINV(1-B42)</f>
        <v>-0.84162123357291474</v>
      </c>
      <c r="E43" t="e">
        <f ca="1">FTEXT(B43)</f>
        <v>#NAME?</v>
      </c>
    </row>
    <row r="44" spans="1:9" x14ac:dyDescent="0.25">
      <c r="A44" t="s">
        <v>1082</v>
      </c>
      <c r="B44" s="155">
        <v>1.5</v>
      </c>
    </row>
    <row r="45" spans="1:9" x14ac:dyDescent="0.25">
      <c r="E45" t="e">
        <f ca="1">FTEXT(B45)</f>
        <v>#NAME?</v>
      </c>
    </row>
    <row r="46" spans="1:9" x14ac:dyDescent="0.25">
      <c r="A46" t="s">
        <v>394</v>
      </c>
      <c r="B46" s="389" t="s">
        <v>1074</v>
      </c>
      <c r="C46" s="389" t="s">
        <v>1075</v>
      </c>
    </row>
    <row r="47" spans="1:9" x14ac:dyDescent="0.25">
      <c r="A47" t="s">
        <v>562</v>
      </c>
      <c r="B47" s="316">
        <f>NORMSINV(1-B41)</f>
        <v>1.6448536269514715</v>
      </c>
      <c r="C47" s="315">
        <f>NORMSINV(1-B41/2)</f>
        <v>1.9599639845400536</v>
      </c>
      <c r="E47" t="e">
        <f ca="1">FTEXT(B47)</f>
        <v>#NAME?</v>
      </c>
    </row>
    <row r="48" spans="1:9" x14ac:dyDescent="0.25">
      <c r="A48" t="s">
        <v>1073</v>
      </c>
      <c r="B48" s="166">
        <f>B47-B43</f>
        <v>2.4864748605243863</v>
      </c>
      <c r="C48" s="163">
        <f>C47-B43</f>
        <v>2.8015852181129683</v>
      </c>
      <c r="E48" t="e">
        <f ca="1">FTEXT(B48)</f>
        <v>#NAME?</v>
      </c>
      <c r="G48" s="315" t="e">
        <f ca="1">NORM2_SIZE(B44,B38,C38,B42,1,B41,-B39)</f>
        <v>#NAME?</v>
      </c>
      <c r="I48" t="e">
        <f ca="1">FTEXT(G48)</f>
        <v>#NAME?</v>
      </c>
    </row>
    <row r="49" spans="1:9" x14ac:dyDescent="0.25">
      <c r="A49" t="s">
        <v>247</v>
      </c>
      <c r="B49" s="148">
        <f>B38^2/((B44/B48)^2-C38^2/B39)</f>
        <v>55.568230511195736</v>
      </c>
      <c r="C49" s="155">
        <f>B38^2/((B44/C48)^2-C38^2/C39)</f>
        <v>70.89306997711212</v>
      </c>
      <c r="E49" t="e">
        <f ca="1">FTEXT(B49)</f>
        <v>#NAME?</v>
      </c>
      <c r="G49" s="155" t="e">
        <f ca="1">NORM2_SIZE(B44,B38,C38,B42,2,B41,-C39)</f>
        <v>#NAME?</v>
      </c>
      <c r="I49" t="e">
        <f ca="1">FTEXT(G49)</f>
        <v>#NAME?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8"/>
  <dimension ref="A1:O21"/>
  <sheetViews>
    <sheetView workbookViewId="0"/>
  </sheetViews>
  <sheetFormatPr defaultRowHeight="15" x14ac:dyDescent="0.25"/>
  <cols>
    <col min="1" max="1" width="3.28515625" customWidth="1"/>
    <col min="2" max="4" width="6.28515625" customWidth="1"/>
    <col min="5" max="5" width="4.7109375" customWidth="1"/>
    <col min="6" max="6" width="10.42578125" customWidth="1"/>
    <col min="10" max="10" width="4.42578125" customWidth="1"/>
    <col min="15" max="15" width="3.28515625" customWidth="1"/>
  </cols>
  <sheetData>
    <row r="1" spans="1:15" x14ac:dyDescent="0.25">
      <c r="A1" s="1" t="s">
        <v>697</v>
      </c>
      <c r="F1" s="237" t="s">
        <v>699</v>
      </c>
      <c r="G1" s="237"/>
      <c r="H1" s="237"/>
      <c r="I1" s="237"/>
      <c r="K1" t="s">
        <v>697</v>
      </c>
    </row>
    <row r="2" spans="1:15" x14ac:dyDescent="0.25">
      <c r="F2" s="237"/>
      <c r="G2" s="237"/>
      <c r="H2" s="237"/>
      <c r="I2" s="237"/>
    </row>
    <row r="3" spans="1:15" x14ac:dyDescent="0.25">
      <c r="B3" s="561" t="s">
        <v>359</v>
      </c>
      <c r="C3" s="561" t="s">
        <v>307</v>
      </c>
      <c r="D3" s="561" t="s">
        <v>308</v>
      </c>
      <c r="F3" s="237"/>
      <c r="G3" s="532" t="str">
        <f>B3</f>
        <v>A</v>
      </c>
      <c r="H3" s="532" t="str">
        <f>C3</f>
        <v>B</v>
      </c>
      <c r="I3" s="532" t="str">
        <f>D3</f>
        <v>C</v>
      </c>
      <c r="J3" s="126"/>
      <c r="K3" s="324"/>
      <c r="L3" s="324" t="str">
        <f>B3</f>
        <v>A</v>
      </c>
      <c r="M3" s="324" t="str">
        <f>C3</f>
        <v>B</v>
      </c>
      <c r="N3" s="324" t="str">
        <f>D3</f>
        <v>C</v>
      </c>
    </row>
    <row r="4" spans="1:15" x14ac:dyDescent="0.25">
      <c r="A4">
        <v>1</v>
      </c>
      <c r="B4" s="581">
        <v>19</v>
      </c>
      <c r="C4" s="581">
        <v>12</v>
      </c>
      <c r="D4" s="581">
        <v>145</v>
      </c>
      <c r="F4" t="s">
        <v>142</v>
      </c>
      <c r="G4" s="529">
        <f>G10-$G17</f>
        <v>8</v>
      </c>
      <c r="H4" s="530">
        <f>H10-$G17</f>
        <v>3</v>
      </c>
      <c r="I4" s="531">
        <f>I10-$G17</f>
        <v>125</v>
      </c>
      <c r="J4" s="8"/>
      <c r="K4" s="526" t="s">
        <v>63</v>
      </c>
      <c r="L4">
        <f>AVERAGE(B4:B16)</f>
        <v>36.846153846153847</v>
      </c>
      <c r="M4">
        <f>AVERAGE(C4:C16)</f>
        <v>40.416666666666664</v>
      </c>
      <c r="N4">
        <f>AVERAGE(D4:D16)</f>
        <v>148.90909090909091</v>
      </c>
    </row>
    <row r="5" spans="1:15" x14ac:dyDescent="0.25">
      <c r="A5">
        <f>A4+1</f>
        <v>2</v>
      </c>
      <c r="B5" s="581">
        <v>41</v>
      </c>
      <c r="C5" s="581">
        <v>27</v>
      </c>
      <c r="D5" s="581">
        <v>125</v>
      </c>
      <c r="F5" t="s">
        <v>143</v>
      </c>
      <c r="G5" s="162">
        <f>G11-G10</f>
        <v>11</v>
      </c>
      <c r="H5" s="8">
        <f>H11-H10</f>
        <v>18.75</v>
      </c>
      <c r="I5" s="102">
        <f>I11-I10</f>
        <v>7.5</v>
      </c>
      <c r="J5" s="8"/>
      <c r="K5" s="526" t="s">
        <v>66</v>
      </c>
      <c r="L5">
        <f>STDEV(B4:B16)</f>
        <v>23.989046645799807</v>
      </c>
      <c r="M5">
        <f>STDEV(C4:C16)</f>
        <v>33.087922359383739</v>
      </c>
      <c r="N5">
        <f>STDEV(D4:D16)</f>
        <v>57.810820000160085</v>
      </c>
    </row>
    <row r="6" spans="1:15" x14ac:dyDescent="0.25">
      <c r="A6">
        <f t="shared" ref="A6:A16" si="0">A5+1</f>
        <v>3</v>
      </c>
      <c r="B6" s="581">
        <v>29</v>
      </c>
      <c r="C6" s="581">
        <v>18</v>
      </c>
      <c r="D6" s="581">
        <v>190</v>
      </c>
      <c r="F6" t="s">
        <v>144</v>
      </c>
      <c r="G6" s="162">
        <f t="shared" ref="G6:I8" si="1">G12-G11</f>
        <v>16</v>
      </c>
      <c r="H6" s="8">
        <f t="shared" si="1"/>
        <v>5.25</v>
      </c>
      <c r="I6" s="102">
        <f t="shared" si="1"/>
        <v>17.5</v>
      </c>
      <c r="J6" s="8"/>
      <c r="K6" s="86" t="s">
        <v>700</v>
      </c>
      <c r="L6" s="5">
        <f>COUNTIF(L9:L21,"&gt;=2.5")+COUNTIF(L9:L21,"&lt;=-2.5")</f>
        <v>0</v>
      </c>
      <c r="M6" s="5">
        <f>COUNTIF(M9:M21,"&gt;=2.5")+COUNTIF(M9:M21,"&lt;=-2.5")</f>
        <v>1</v>
      </c>
      <c r="N6" s="5">
        <f>COUNTIF(N9:N21,"&gt;=2.5")+COUNTIF(N9:N21,"&lt;=-2.5")</f>
        <v>1</v>
      </c>
    </row>
    <row r="7" spans="1:15" x14ac:dyDescent="0.25">
      <c r="A7">
        <f t="shared" si="0"/>
        <v>4</v>
      </c>
      <c r="B7" s="581">
        <v>95</v>
      </c>
      <c r="C7" s="581">
        <v>23</v>
      </c>
      <c r="D7" s="581">
        <v>135</v>
      </c>
      <c r="F7" t="s">
        <v>145</v>
      </c>
      <c r="G7" s="162">
        <f t="shared" si="1"/>
        <v>13</v>
      </c>
      <c r="H7" s="8">
        <f t="shared" si="1"/>
        <v>26</v>
      </c>
      <c r="I7" s="102">
        <f t="shared" si="1"/>
        <v>27.5</v>
      </c>
      <c r="J7" s="8"/>
      <c r="K7" s="526" t="s">
        <v>701</v>
      </c>
      <c r="L7">
        <f>COUNTIF(L9:L21,"")</f>
        <v>0</v>
      </c>
      <c r="M7">
        <f>COUNTIF(M9:M21,"")</f>
        <v>0</v>
      </c>
      <c r="N7">
        <f>COUNTIF(N9:N21,"")</f>
        <v>2</v>
      </c>
    </row>
    <row r="8" spans="1:15" x14ac:dyDescent="0.25">
      <c r="A8">
        <f t="shared" si="0"/>
        <v>5</v>
      </c>
      <c r="B8" s="581">
        <v>8</v>
      </c>
      <c r="C8" s="581">
        <v>72</v>
      </c>
      <c r="D8" s="581">
        <v>220</v>
      </c>
      <c r="F8" t="s">
        <v>146</v>
      </c>
      <c r="G8" s="273">
        <f t="shared" si="1"/>
        <v>11</v>
      </c>
      <c r="H8" s="274">
        <f t="shared" si="1"/>
        <v>19</v>
      </c>
      <c r="I8" s="275">
        <f t="shared" si="1"/>
        <v>42.5</v>
      </c>
      <c r="J8" s="8"/>
      <c r="K8" s="527" t="s">
        <v>702</v>
      </c>
      <c r="L8" s="276">
        <f>COUNTIF(L9:L21," ******* ")</f>
        <v>0</v>
      </c>
      <c r="M8" s="276">
        <f>COUNTIF(M9:M21," ******* ")</f>
        <v>1</v>
      </c>
      <c r="N8" s="276">
        <f>COUNTIF(N9:N21," ******* ")</f>
        <v>0</v>
      </c>
    </row>
    <row r="9" spans="1:15" x14ac:dyDescent="0.25">
      <c r="A9">
        <f t="shared" si="0"/>
        <v>6</v>
      </c>
      <c r="B9" s="581">
        <v>29</v>
      </c>
      <c r="C9" s="581">
        <v>27</v>
      </c>
      <c r="D9" s="581"/>
      <c r="K9" s="526">
        <v>1</v>
      </c>
      <c r="L9">
        <f t="shared" ref="L9:L21" si="2">IF(B4="","",IF(ISNUMBER(B4),STANDARDIZE(B4,L$4,L$5)," ******* "))</f>
        <v>-0.74392926528735115</v>
      </c>
      <c r="M9">
        <f t="shared" ref="M9:M21" si="3">IF(C4="","",IF(ISNUMBER(C4),STANDARDIZE(C4,M$4,M$5)," ******* "))</f>
        <v>-0.85882293720408509</v>
      </c>
      <c r="N9">
        <f t="shared" ref="N9:N21" si="4">IF(D4="","",IF(ISNUMBER(D4),STANDARDIZE(D4,N$4,N$5)," ******* "))</f>
        <v>-6.7618672578594829E-2</v>
      </c>
      <c r="O9" t="str">
        <f>IF(COUNTIF(L9:N9,"&gt;=2.5")+COUNTIF(L9:N9,"&lt;=-2.5")&gt;0,"*","")</f>
        <v/>
      </c>
    </row>
    <row r="10" spans="1:15" x14ac:dyDescent="0.25">
      <c r="A10">
        <f t="shared" si="0"/>
        <v>7</v>
      </c>
      <c r="B10" s="581">
        <v>11</v>
      </c>
      <c r="C10" s="581">
        <v>27</v>
      </c>
      <c r="D10" s="581">
        <v>130</v>
      </c>
      <c r="F10" t="s">
        <v>142</v>
      </c>
      <c r="G10" s="529">
        <f t="array" ref="G10">MIN(IF(B4:B16&gt;=G11-3*(G13-G11)/2,B4:B16,""))</f>
        <v>8</v>
      </c>
      <c r="H10" s="530">
        <f t="array" ref="H10">MIN(IF(C4:C16&gt;=H11-3*(H13-H11)/2,C4:C16,""))</f>
        <v>3</v>
      </c>
      <c r="I10" s="531">
        <f t="array" ref="I10">MIN(IF(D4:D16&gt;=I11-3*(I13-I11)/2,D4:D16,""))</f>
        <v>125</v>
      </c>
      <c r="J10" s="8"/>
      <c r="K10" s="526">
        <f>K9+1</f>
        <v>2</v>
      </c>
      <c r="L10">
        <f t="shared" si="2"/>
        <v>0.1731559496789524</v>
      </c>
      <c r="M10">
        <f t="shared" si="3"/>
        <v>-0.40548531639254454</v>
      </c>
      <c r="N10">
        <f t="shared" si="4"/>
        <v>-0.41357467181791746</v>
      </c>
      <c r="O10" t="str">
        <f t="shared" ref="O10:O21" si="5">IF(COUNTIF(L10:N10,"&gt;=2.5")+COUNTIF(L10:N10,"&lt;=-2.5")&gt;0,"*","")</f>
        <v/>
      </c>
    </row>
    <row r="11" spans="1:15" x14ac:dyDescent="0.25">
      <c r="A11">
        <f t="shared" si="0"/>
        <v>8</v>
      </c>
      <c r="B11" s="581">
        <v>59</v>
      </c>
      <c r="C11" s="581">
        <v>53</v>
      </c>
      <c r="D11" s="581">
        <v>210</v>
      </c>
      <c r="F11" t="s">
        <v>148</v>
      </c>
      <c r="G11" s="162">
        <f>QUARTILE(B4:B16,1)</f>
        <v>19</v>
      </c>
      <c r="H11" s="8">
        <f>QUARTILE(C4:C16,1)</f>
        <v>21.75</v>
      </c>
      <c r="I11" s="102">
        <f>QUARTILE(D4:D16,1)</f>
        <v>132.5</v>
      </c>
      <c r="J11" s="8"/>
      <c r="K11" s="526">
        <f t="shared" ref="K11:K21" si="6">K10+1</f>
        <v>3</v>
      </c>
      <c r="L11">
        <f t="shared" si="2"/>
        <v>-0.32707234939357682</v>
      </c>
      <c r="M11">
        <f t="shared" si="3"/>
        <v>-0.67748788887946887</v>
      </c>
      <c r="N11">
        <f t="shared" si="4"/>
        <v>0.71078232570988109</v>
      </c>
      <c r="O11" t="str">
        <f t="shared" si="5"/>
        <v/>
      </c>
    </row>
    <row r="12" spans="1:15" x14ac:dyDescent="0.25">
      <c r="A12">
        <f t="shared" si="0"/>
        <v>9</v>
      </c>
      <c r="B12" s="581">
        <v>41</v>
      </c>
      <c r="C12" s="581">
        <v>3</v>
      </c>
      <c r="D12" s="581">
        <v>3</v>
      </c>
      <c r="F12" t="s">
        <v>77</v>
      </c>
      <c r="G12" s="162">
        <f>MEDIAN(B4:B16)</f>
        <v>35</v>
      </c>
      <c r="H12" s="8">
        <f>MEDIAN(C4:C16)</f>
        <v>27</v>
      </c>
      <c r="I12" s="102">
        <f>MEDIAN(D4:D16)</f>
        <v>150</v>
      </c>
      <c r="J12" s="8"/>
      <c r="K12" s="526">
        <f t="shared" si="6"/>
        <v>4</v>
      </c>
      <c r="L12">
        <f t="shared" si="2"/>
        <v>2.4241832955053342</v>
      </c>
      <c r="M12">
        <f t="shared" si="3"/>
        <v>-0.5263753486089553</v>
      </c>
      <c r="N12">
        <f t="shared" si="4"/>
        <v>-0.24059667219825615</v>
      </c>
      <c r="O12" t="str">
        <f t="shared" si="5"/>
        <v/>
      </c>
    </row>
    <row r="13" spans="1:15" x14ac:dyDescent="0.25">
      <c r="A13">
        <f t="shared" si="0"/>
        <v>10</v>
      </c>
      <c r="B13" s="581">
        <v>48</v>
      </c>
      <c r="C13" s="581">
        <v>45</v>
      </c>
      <c r="D13" s="581">
        <v>165</v>
      </c>
      <c r="F13" t="s">
        <v>421</v>
      </c>
      <c r="G13" s="162">
        <f>QUARTILE(B4:B16,3)</f>
        <v>48</v>
      </c>
      <c r="H13" s="8">
        <f>QUARTILE(C4:C16,3)</f>
        <v>53</v>
      </c>
      <c r="I13" s="102">
        <f>QUARTILE(D4:D16,3)</f>
        <v>177.5</v>
      </c>
      <c r="J13" s="8"/>
      <c r="K13" s="526">
        <f t="shared" si="6"/>
        <v>5</v>
      </c>
      <c r="L13">
        <f t="shared" si="2"/>
        <v>-1.202471872770503</v>
      </c>
      <c r="M13">
        <f t="shared" si="3"/>
        <v>0.95452754604207712</v>
      </c>
      <c r="N13">
        <f t="shared" si="4"/>
        <v>1.2297163245688651</v>
      </c>
      <c r="O13" t="str">
        <f t="shared" si="5"/>
        <v/>
      </c>
    </row>
    <row r="14" spans="1:15" x14ac:dyDescent="0.25">
      <c r="A14">
        <f t="shared" si="0"/>
        <v>11</v>
      </c>
      <c r="B14" s="581">
        <v>53</v>
      </c>
      <c r="C14" s="581">
        <v>53</v>
      </c>
      <c r="D14" s="581">
        <v>165</v>
      </c>
      <c r="F14" t="s">
        <v>1471</v>
      </c>
      <c r="G14" s="162">
        <f t="array" ref="G14">MAX(IF(B4:B16&lt;=G13+3*(G13-G11)/2,B4:B16,""))</f>
        <v>59</v>
      </c>
      <c r="H14" s="8">
        <f t="array" ref="H14">MAX(IF(C4:C16&lt;=H13+3*(H13-H11)/2,C4:C16,""))</f>
        <v>72</v>
      </c>
      <c r="I14" s="102">
        <f t="array" ref="I14">MAX(IF(D4:D16&lt;=I13+3*(I13-I11)/2,D4:D16,""))</f>
        <v>220</v>
      </c>
      <c r="J14" s="8"/>
      <c r="K14" s="526">
        <f t="shared" si="6"/>
        <v>6</v>
      </c>
      <c r="L14">
        <f t="shared" si="2"/>
        <v>-0.32707234939357682</v>
      </c>
      <c r="M14">
        <f t="shared" si="3"/>
        <v>-0.40548531639254454</v>
      </c>
      <c r="N14" t="str">
        <f t="shared" si="4"/>
        <v/>
      </c>
      <c r="O14" t="str">
        <f t="shared" si="5"/>
        <v/>
      </c>
    </row>
    <row r="15" spans="1:15" x14ac:dyDescent="0.25">
      <c r="A15">
        <f t="shared" si="0"/>
        <v>12</v>
      </c>
      <c r="B15" s="581">
        <v>35</v>
      </c>
      <c r="C15" s="581">
        <v>125</v>
      </c>
      <c r="D15" s="581">
        <v>150</v>
      </c>
      <c r="F15" t="s">
        <v>75</v>
      </c>
      <c r="G15" s="273">
        <f>AVERAGE(B4:B16)</f>
        <v>36.846153846153847</v>
      </c>
      <c r="H15" s="274">
        <f>AVERAGE(C4:C16)</f>
        <v>40.416666666666664</v>
      </c>
      <c r="I15" s="275">
        <f>AVERAGE(D4:D16)</f>
        <v>148.90909090909091</v>
      </c>
      <c r="J15" s="8"/>
      <c r="K15" s="526">
        <f t="shared" si="6"/>
        <v>7</v>
      </c>
      <c r="L15">
        <f t="shared" si="2"/>
        <v>-1.0774147980023707</v>
      </c>
      <c r="M15">
        <f t="shared" si="3"/>
        <v>-0.40548531639254454</v>
      </c>
      <c r="N15">
        <f t="shared" si="4"/>
        <v>-0.3270856720080868</v>
      </c>
      <c r="O15" t="str">
        <f t="shared" si="5"/>
        <v/>
      </c>
    </row>
    <row r="16" spans="1:15" x14ac:dyDescent="0.25">
      <c r="A16">
        <f t="shared" si="0"/>
        <v>13</v>
      </c>
      <c r="B16" s="582">
        <v>11</v>
      </c>
      <c r="C16" s="582" t="s">
        <v>28</v>
      </c>
      <c r="D16" s="582"/>
      <c r="K16" s="526">
        <f t="shared" si="6"/>
        <v>8</v>
      </c>
      <c r="L16">
        <f t="shared" si="2"/>
        <v>0.92349839828774627</v>
      </c>
      <c r="M16">
        <f t="shared" si="3"/>
        <v>0.38029989301412576</v>
      </c>
      <c r="N16">
        <f t="shared" si="4"/>
        <v>1.0567383249492037</v>
      </c>
      <c r="O16" t="str">
        <f t="shared" si="5"/>
        <v/>
      </c>
    </row>
    <row r="17" spans="6:15" x14ac:dyDescent="0.25">
      <c r="F17" t="s">
        <v>1432</v>
      </c>
      <c r="G17" s="528">
        <f>IF(MIN(G10:I10)&gt;=0,0,MIN(G10:I10))</f>
        <v>0</v>
      </c>
      <c r="K17" s="526">
        <f t="shared" si="6"/>
        <v>9</v>
      </c>
      <c r="L17">
        <f t="shared" si="2"/>
        <v>0.1731559496789524</v>
      </c>
      <c r="M17">
        <f t="shared" si="3"/>
        <v>-1.1308255096910094</v>
      </c>
      <c r="N17">
        <f t="shared" si="4"/>
        <v>-2.5239062671777854</v>
      </c>
      <c r="O17" t="str">
        <f t="shared" si="5"/>
        <v>*</v>
      </c>
    </row>
    <row r="18" spans="6:15" x14ac:dyDescent="0.25">
      <c r="K18" s="526">
        <f t="shared" si="6"/>
        <v>10</v>
      </c>
      <c r="L18">
        <f t="shared" si="2"/>
        <v>0.46495579080459448</v>
      </c>
      <c r="M18">
        <f t="shared" si="3"/>
        <v>0.13851982858130413</v>
      </c>
      <c r="N18">
        <f t="shared" si="4"/>
        <v>0.2783373266607278</v>
      </c>
      <c r="O18" t="str">
        <f t="shared" si="5"/>
        <v/>
      </c>
    </row>
    <row r="19" spans="6:15" x14ac:dyDescent="0.25">
      <c r="K19" s="526">
        <f t="shared" si="6"/>
        <v>11</v>
      </c>
      <c r="L19">
        <f t="shared" si="2"/>
        <v>0.67338424875148162</v>
      </c>
      <c r="M19">
        <f t="shared" si="3"/>
        <v>0.38029989301412576</v>
      </c>
      <c r="N19">
        <f t="shared" si="4"/>
        <v>0.2783373266607278</v>
      </c>
      <c r="O19" t="str">
        <f t="shared" si="5"/>
        <v/>
      </c>
    </row>
    <row r="20" spans="6:15" x14ac:dyDescent="0.25">
      <c r="K20" s="526">
        <f t="shared" si="6"/>
        <v>12</v>
      </c>
      <c r="L20">
        <f t="shared" si="2"/>
        <v>-7.6958199857312212E-2</v>
      </c>
      <c r="M20">
        <f t="shared" si="3"/>
        <v>2.5563204729095208</v>
      </c>
      <c r="N20">
        <f t="shared" si="4"/>
        <v>1.8870327231235825E-2</v>
      </c>
      <c r="O20" t="str">
        <f t="shared" si="5"/>
        <v>*</v>
      </c>
    </row>
    <row r="21" spans="6:15" x14ac:dyDescent="0.25">
      <c r="K21" s="527">
        <f t="shared" si="6"/>
        <v>13</v>
      </c>
      <c r="L21" s="276">
        <f t="shared" si="2"/>
        <v>-1.0774147980023707</v>
      </c>
      <c r="M21" s="276" t="str">
        <f t="shared" si="3"/>
        <v xml:space="preserve"> ******* </v>
      </c>
      <c r="N21" s="276" t="str">
        <f t="shared" si="4"/>
        <v/>
      </c>
      <c r="O21" t="str">
        <f t="shared" si="5"/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8"/>
  <dimension ref="A1:L13"/>
  <sheetViews>
    <sheetView workbookViewId="0"/>
  </sheetViews>
  <sheetFormatPr defaultRowHeight="15" x14ac:dyDescent="0.25"/>
  <cols>
    <col min="1" max="1" width="3.42578125" customWidth="1"/>
    <col min="2" max="5" width="7.28515625" customWidth="1"/>
    <col min="9" max="9" width="7.28515625" customWidth="1"/>
  </cols>
  <sheetData>
    <row r="1" spans="1:12" x14ac:dyDescent="0.25">
      <c r="A1" s="1" t="s">
        <v>1332</v>
      </c>
      <c r="F1" t="s">
        <v>1333</v>
      </c>
      <c r="J1" t="s">
        <v>1334</v>
      </c>
    </row>
    <row r="3" spans="1:12" x14ac:dyDescent="0.25">
      <c r="B3" s="475">
        <v>34.700000000000003</v>
      </c>
      <c r="C3" s="476">
        <v>50.3</v>
      </c>
      <c r="D3" s="477">
        <v>47.3</v>
      </c>
      <c r="F3" s="4" t="e">
        <f ca="1">STANDARD(B3,$B$3:$D$8)</f>
        <v>#NAME?</v>
      </c>
      <c r="G3" s="292" t="e">
        <f ca="1">STANDARD(C3,$B$3:$D$8)</f>
        <v>#NAME?</v>
      </c>
      <c r="H3" s="6" t="e">
        <f ca="1">STANDARD(D3,$B$3:$D$8)</f>
        <v>#NAME?</v>
      </c>
      <c r="J3" s="4" t="e">
        <f ca="1">STANDARD(B3,$B$3:$D$8,1,FALSE)</f>
        <v>#NAME?</v>
      </c>
      <c r="K3" s="292" t="e">
        <f ca="1">STANDARD(C3,$B$3:$D$8,1,FALSE)</f>
        <v>#NAME?</v>
      </c>
      <c r="L3" s="6" t="e">
        <f ca="1">STANDARD(D3,$B$3:$D$8,1,FALSE)</f>
        <v>#NAME?</v>
      </c>
    </row>
    <row r="4" spans="1:12" x14ac:dyDescent="0.25">
      <c r="B4" s="478">
        <v>23.7</v>
      </c>
      <c r="C4" s="479">
        <v>44.2</v>
      </c>
      <c r="D4" s="480">
        <v>39.4</v>
      </c>
      <c r="F4" s="166" t="e">
        <f ca="1">STANDARD(B4,$B$3:$D$8)</f>
        <v>#NAME?</v>
      </c>
      <c r="G4" s="8" t="e">
        <f ca="1">STANDARD(C4,$B$3:$D$8)</f>
        <v>#NAME?</v>
      </c>
      <c r="H4" s="167" t="e">
        <f ca="1">STANDARD(D4,$B$3:$D$8)</f>
        <v>#NAME?</v>
      </c>
      <c r="J4" s="166" t="e">
        <f ca="1">STANDARD(B4,$B$3:$D$8,1,FALSE)</f>
        <v>#NAME?</v>
      </c>
      <c r="K4" s="8" t="e">
        <f ca="1">STANDARD(C4,$B$3:$D$8,1,FALSE)</f>
        <v>#NAME?</v>
      </c>
      <c r="L4" s="167" t="e">
        <f ca="1">STANDARD(D4,$B$3:$D$8,1,FALSE)</f>
        <v>#NAME?</v>
      </c>
    </row>
    <row r="5" spans="1:12" x14ac:dyDescent="0.25">
      <c r="B5" s="478">
        <v>45.8</v>
      </c>
      <c r="C5" s="479">
        <v>39.9</v>
      </c>
      <c r="D5" s="480">
        <v>99.5</v>
      </c>
      <c r="F5" s="166" t="e">
        <f ca="1">STANDARD(B5,$B$3:$D$8)</f>
        <v>#NAME?</v>
      </c>
      <c r="G5" s="8" t="e">
        <f ca="1">STANDARD(C5,$B$3:$D$8)</f>
        <v>#NAME?</v>
      </c>
      <c r="H5" s="167" t="e">
        <f ca="1">STANDARD(D5,$B$3:$D$8)</f>
        <v>#NAME?</v>
      </c>
      <c r="J5" s="166" t="e">
        <f ca="1">STANDARD(B5,$B$3:$D$8,1,FALSE)</f>
        <v>#NAME?</v>
      </c>
      <c r="K5" s="8" t="e">
        <f ca="1">STANDARD(C5,$B$3:$D$8,1,FALSE)</f>
        <v>#NAME?</v>
      </c>
      <c r="L5" s="167" t="e">
        <f ca="1">STANDARD(D5,$B$3:$D$8,1,FALSE)</f>
        <v>#NAME?</v>
      </c>
    </row>
    <row r="6" spans="1:12" x14ac:dyDescent="0.25">
      <c r="B6" s="478">
        <v>37.5</v>
      </c>
      <c r="C6" s="479">
        <v>41.7</v>
      </c>
      <c r="D6" s="480">
        <v>52.8</v>
      </c>
      <c r="F6" s="166" t="e">
        <f ca="1">STANDARD(B6,$B$3:$D$8)</f>
        <v>#NAME?</v>
      </c>
      <c r="G6" s="8" t="e">
        <f ca="1">STANDARD(C6,$B$3:$D$8)</f>
        <v>#NAME?</v>
      </c>
      <c r="H6" s="167" t="e">
        <f ca="1">STANDARD(D6,$B$3:$D$8)</f>
        <v>#NAME?</v>
      </c>
      <c r="J6" s="166" t="e">
        <f ca="1">STANDARD(B6,$B$3:$D$8,1,FALSE)</f>
        <v>#NAME?</v>
      </c>
      <c r="K6" s="8" t="e">
        <f ca="1">STANDARD(C6,$B$3:$D$8,1,FALSE)</f>
        <v>#NAME?</v>
      </c>
      <c r="L6" s="167" t="e">
        <f ca="1">STANDARD(D6,$B$3:$D$8,1,FALSE)</f>
        <v>#NAME?</v>
      </c>
    </row>
    <row r="7" spans="1:12" x14ac:dyDescent="0.25">
      <c r="B7" s="478">
        <v>42.8</v>
      </c>
      <c r="C7" s="479">
        <v>36.1</v>
      </c>
      <c r="D7" s="480">
        <v>71.099999999999994</v>
      </c>
      <c r="F7" s="166" t="e">
        <f ca="1">STANDARD(B7,$B$3:$D$8)</f>
        <v>#NAME?</v>
      </c>
      <c r="G7" s="8" t="e">
        <f ca="1">STANDARD(C7,$B$3:$D$8)</f>
        <v>#NAME?</v>
      </c>
      <c r="H7" s="167" t="e">
        <f ca="1">STANDARD(D7,$B$3:$D$8)</f>
        <v>#NAME?</v>
      </c>
      <c r="J7" s="166" t="e">
        <f ca="1">STANDARD(B7,$B$3:$D$8,1,FALSE)</f>
        <v>#NAME?</v>
      </c>
      <c r="K7" s="8" t="e">
        <f ca="1">STANDARD(C7,$B$3:$D$8,1,FALSE)</f>
        <v>#NAME?</v>
      </c>
      <c r="L7" s="167" t="e">
        <f ca="1">STANDARD(D7,$B$3:$D$8,1,FALSE)</f>
        <v>#NAME?</v>
      </c>
    </row>
    <row r="8" spans="1:12" x14ac:dyDescent="0.25">
      <c r="B8" s="481">
        <v>10.6</v>
      </c>
      <c r="C8" s="482">
        <v>41.4</v>
      </c>
      <c r="D8" s="483">
        <v>66.599999999999994</v>
      </c>
      <c r="F8" s="148" t="e">
        <f ca="1">STANDARD(B8,$B$3:$D$8)</f>
        <v>#NAME?</v>
      </c>
      <c r="G8" s="276" t="e">
        <f ca="1">STANDARD(C8,$B$3:$D$8)</f>
        <v>#NAME?</v>
      </c>
      <c r="H8" s="153" t="e">
        <f ca="1">STANDARD(D8,$B$3:$D$8)</f>
        <v>#NAME?</v>
      </c>
      <c r="J8" s="148" t="e">
        <f ca="1">STANDARD(B8,$B$3:$D$8,1,FALSE)</f>
        <v>#NAME?</v>
      </c>
      <c r="K8" s="276" t="e">
        <f ca="1">STANDARD(C8,$B$3:$D$8,1,FALSE)</f>
        <v>#NAME?</v>
      </c>
      <c r="L8" s="153" t="e">
        <f ca="1">STANDARD(D8,$B$3:$D$8,1,FALSE)</f>
        <v>#NAME?</v>
      </c>
    </row>
    <row r="10" spans="1:12" x14ac:dyDescent="0.25">
      <c r="F10" t="s">
        <v>63</v>
      </c>
      <c r="G10" s="484">
        <f>AVERAGE(B3:D8)</f>
        <v>45.855555555555554</v>
      </c>
      <c r="J10" t="s">
        <v>383</v>
      </c>
      <c r="K10" s="485">
        <f>MEDIAN(B3:D8)</f>
        <v>42.25</v>
      </c>
    </row>
    <row r="11" spans="1:12" x14ac:dyDescent="0.25">
      <c r="F11" t="s">
        <v>66</v>
      </c>
      <c r="G11" s="152">
        <f>STDEV(B3:D8)</f>
        <v>19.043301191270327</v>
      </c>
      <c r="J11" t="s">
        <v>1335</v>
      </c>
      <c r="K11" s="163">
        <f>QUARTILE(B3:D8,1)</f>
        <v>37.975000000000001</v>
      </c>
    </row>
    <row r="12" spans="1:12" x14ac:dyDescent="0.25">
      <c r="J12" t="s">
        <v>1336</v>
      </c>
      <c r="K12" s="163">
        <f>QUARTILE(B3:D8,3)</f>
        <v>49.55</v>
      </c>
    </row>
    <row r="13" spans="1:12" x14ac:dyDescent="0.25">
      <c r="J13" t="s">
        <v>1337</v>
      </c>
      <c r="K13" s="155" t="e">
        <f ca="1">IQR(B3:D8,FALSE)</f>
        <v>#NAME?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B39"/>
  <sheetViews>
    <sheetView workbookViewId="0"/>
  </sheetViews>
  <sheetFormatPr defaultRowHeight="15" x14ac:dyDescent="0.25"/>
  <sheetData>
    <row r="1" spans="1:2" x14ac:dyDescent="0.25">
      <c r="A1" s="1" t="s">
        <v>249</v>
      </c>
    </row>
    <row r="3" spans="1:2" x14ac:dyDescent="0.25">
      <c r="A3" s="19" t="s">
        <v>28</v>
      </c>
      <c r="B3" s="19" t="s">
        <v>29</v>
      </c>
    </row>
    <row r="4" spans="1:2" x14ac:dyDescent="0.25">
      <c r="A4">
        <v>0</v>
      </c>
      <c r="B4">
        <f>BINOMDIST(A4,20,0.25,FALSE)</f>
        <v>3.1712119389339963E-3</v>
      </c>
    </row>
    <row r="5" spans="1:2" x14ac:dyDescent="0.25">
      <c r="A5">
        <f>A4+1</f>
        <v>1</v>
      </c>
      <c r="B5">
        <f>BINOMDIST(A5,20,0.25,FALSE)</f>
        <v>2.1141412926226615E-2</v>
      </c>
    </row>
    <row r="6" spans="1:2" x14ac:dyDescent="0.25">
      <c r="A6">
        <f t="shared" ref="A6:A24" si="0">A5+1</f>
        <v>2</v>
      </c>
      <c r="B6">
        <f t="shared" ref="B6:B24" si="1">BINOMDIST(A6,20,0.25,FALSE)</f>
        <v>6.6947807599717662E-2</v>
      </c>
    </row>
    <row r="7" spans="1:2" x14ac:dyDescent="0.25">
      <c r="A7">
        <f t="shared" si="0"/>
        <v>3</v>
      </c>
      <c r="B7">
        <f t="shared" si="1"/>
        <v>0.13389561519943524</v>
      </c>
    </row>
    <row r="8" spans="1:2" x14ac:dyDescent="0.25">
      <c r="A8">
        <f t="shared" si="0"/>
        <v>4</v>
      </c>
      <c r="B8">
        <f t="shared" si="1"/>
        <v>0.18968545486586663</v>
      </c>
    </row>
    <row r="9" spans="1:2" x14ac:dyDescent="0.25">
      <c r="A9">
        <f t="shared" si="0"/>
        <v>5</v>
      </c>
      <c r="B9">
        <f t="shared" si="1"/>
        <v>0.20233115185692441</v>
      </c>
    </row>
    <row r="10" spans="1:2" x14ac:dyDescent="0.25">
      <c r="A10">
        <f t="shared" si="0"/>
        <v>6</v>
      </c>
      <c r="B10">
        <f t="shared" si="1"/>
        <v>0.1686092932141037</v>
      </c>
    </row>
    <row r="11" spans="1:2" x14ac:dyDescent="0.25">
      <c r="A11">
        <f t="shared" si="0"/>
        <v>7</v>
      </c>
      <c r="B11">
        <f t="shared" si="1"/>
        <v>0.11240619547606913</v>
      </c>
    </row>
    <row r="12" spans="1:2" x14ac:dyDescent="0.25">
      <c r="A12">
        <f t="shared" si="0"/>
        <v>8</v>
      </c>
      <c r="B12">
        <f t="shared" si="1"/>
        <v>6.0886689216204062E-2</v>
      </c>
    </row>
    <row r="13" spans="1:2" x14ac:dyDescent="0.25">
      <c r="A13">
        <f t="shared" si="0"/>
        <v>9</v>
      </c>
      <c r="B13">
        <f t="shared" si="1"/>
        <v>2.7060750762757369E-2</v>
      </c>
    </row>
    <row r="14" spans="1:2" x14ac:dyDescent="0.25">
      <c r="A14">
        <f t="shared" si="0"/>
        <v>10</v>
      </c>
      <c r="B14">
        <f t="shared" si="1"/>
        <v>9.9222752796777041E-3</v>
      </c>
    </row>
    <row r="15" spans="1:2" x14ac:dyDescent="0.25">
      <c r="A15">
        <f t="shared" si="0"/>
        <v>11</v>
      </c>
      <c r="B15">
        <f t="shared" si="1"/>
        <v>3.0067500847508173E-3</v>
      </c>
    </row>
    <row r="16" spans="1:2" x14ac:dyDescent="0.25">
      <c r="A16">
        <f t="shared" si="0"/>
        <v>12</v>
      </c>
      <c r="B16">
        <f t="shared" si="1"/>
        <v>7.5168752118770586E-4</v>
      </c>
    </row>
    <row r="17" spans="1:2" x14ac:dyDescent="0.25">
      <c r="A17">
        <f t="shared" si="0"/>
        <v>13</v>
      </c>
      <c r="B17">
        <f t="shared" si="1"/>
        <v>1.541923120385034E-4</v>
      </c>
    </row>
    <row r="18" spans="1:2" x14ac:dyDescent="0.25">
      <c r="A18">
        <f t="shared" si="0"/>
        <v>14</v>
      </c>
      <c r="B18">
        <f t="shared" si="1"/>
        <v>2.5698718673083962E-5</v>
      </c>
    </row>
    <row r="19" spans="1:2" x14ac:dyDescent="0.25">
      <c r="A19">
        <f t="shared" si="0"/>
        <v>15</v>
      </c>
      <c r="B19">
        <f t="shared" si="1"/>
        <v>3.42649582307786E-6</v>
      </c>
    </row>
    <row r="20" spans="1:2" x14ac:dyDescent="0.25">
      <c r="A20">
        <f t="shared" si="0"/>
        <v>16</v>
      </c>
      <c r="B20">
        <f t="shared" si="1"/>
        <v>3.5692664823727645E-7</v>
      </c>
    </row>
    <row r="21" spans="1:2" x14ac:dyDescent="0.25">
      <c r="A21">
        <f t="shared" si="0"/>
        <v>17</v>
      </c>
      <c r="B21">
        <f t="shared" si="1"/>
        <v>2.7994246920570738E-8</v>
      </c>
    </row>
    <row r="22" spans="1:2" x14ac:dyDescent="0.25">
      <c r="A22">
        <f t="shared" si="0"/>
        <v>18</v>
      </c>
      <c r="B22">
        <f t="shared" si="1"/>
        <v>1.5552359400317114E-9</v>
      </c>
    </row>
    <row r="23" spans="1:2" x14ac:dyDescent="0.25">
      <c r="A23">
        <f t="shared" si="0"/>
        <v>19</v>
      </c>
      <c r="B23">
        <f t="shared" si="1"/>
        <v>5.4569682106375856E-11</v>
      </c>
    </row>
    <row r="24" spans="1:2" x14ac:dyDescent="0.25">
      <c r="A24">
        <f t="shared" si="0"/>
        <v>20</v>
      </c>
      <c r="B24">
        <f t="shared" si="1"/>
        <v>9.0949470177292824E-13</v>
      </c>
    </row>
    <row r="28" spans="1:2" x14ac:dyDescent="0.25">
      <c r="A28" s="19" t="s">
        <v>28</v>
      </c>
      <c r="B28" s="19" t="s">
        <v>30</v>
      </c>
    </row>
    <row r="29" spans="1:2" x14ac:dyDescent="0.25">
      <c r="A29">
        <v>0</v>
      </c>
      <c r="B29" s="82">
        <f>BINOMDIST(A29,10,1/6,TRUE)</f>
        <v>0.16150558288984571</v>
      </c>
    </row>
    <row r="30" spans="1:2" x14ac:dyDescent="0.25">
      <c r="A30">
        <f>A29+1</f>
        <v>1</v>
      </c>
      <c r="B30" s="82">
        <f t="shared" ref="B30:B39" si="2">BINOMDIST(A30,10,1/6,TRUE)</f>
        <v>0.48451674866953731</v>
      </c>
    </row>
    <row r="31" spans="1:2" x14ac:dyDescent="0.25">
      <c r="A31">
        <f t="shared" ref="A31:A39" si="3">A30+1</f>
        <v>2</v>
      </c>
      <c r="B31" s="82">
        <f t="shared" si="2"/>
        <v>0.77522679787125948</v>
      </c>
    </row>
    <row r="32" spans="1:2" x14ac:dyDescent="0.25">
      <c r="A32">
        <f t="shared" si="3"/>
        <v>3</v>
      </c>
      <c r="B32" s="82">
        <f t="shared" si="2"/>
        <v>0.93027215744551128</v>
      </c>
    </row>
    <row r="33" spans="1:2" x14ac:dyDescent="0.25">
      <c r="A33">
        <f t="shared" si="3"/>
        <v>4</v>
      </c>
      <c r="B33" s="82">
        <f t="shared" si="2"/>
        <v>0.98453803329649947</v>
      </c>
    </row>
    <row r="34" spans="1:2" x14ac:dyDescent="0.25">
      <c r="A34">
        <f t="shared" si="3"/>
        <v>5</v>
      </c>
      <c r="B34" s="82">
        <f t="shared" si="2"/>
        <v>0.99756184350073673</v>
      </c>
    </row>
    <row r="35" spans="1:2" x14ac:dyDescent="0.25">
      <c r="A35">
        <f t="shared" si="3"/>
        <v>6</v>
      </c>
      <c r="B35" s="82">
        <f t="shared" si="2"/>
        <v>0.9997324785347762</v>
      </c>
    </row>
    <row r="36" spans="1:2" x14ac:dyDescent="0.25">
      <c r="A36">
        <f t="shared" si="3"/>
        <v>7</v>
      </c>
      <c r="B36" s="82">
        <f t="shared" si="2"/>
        <v>0.99998055111009498</v>
      </c>
    </row>
    <row r="37" spans="1:2" x14ac:dyDescent="0.25">
      <c r="A37">
        <f t="shared" si="3"/>
        <v>8</v>
      </c>
      <c r="B37" s="82">
        <f t="shared" si="2"/>
        <v>0.9999991565532439</v>
      </c>
    </row>
    <row r="38" spans="1:2" x14ac:dyDescent="0.25">
      <c r="A38">
        <f t="shared" si="3"/>
        <v>9</v>
      </c>
      <c r="B38" s="82">
        <f t="shared" si="2"/>
        <v>0.99999998346182828</v>
      </c>
    </row>
    <row r="39" spans="1:2" x14ac:dyDescent="0.25">
      <c r="A39">
        <f t="shared" si="3"/>
        <v>10</v>
      </c>
      <c r="B39" s="82">
        <f t="shared" si="2"/>
        <v>1</v>
      </c>
    </row>
  </sheetData>
  <pageMargins left="0.7" right="0.7" top="0.75" bottom="0.75" header="0.3" footer="0.3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5"/>
  <dimension ref="A1:K14"/>
  <sheetViews>
    <sheetView workbookViewId="0"/>
  </sheetViews>
  <sheetFormatPr defaultRowHeight="15" x14ac:dyDescent="0.25"/>
  <sheetData>
    <row r="1" spans="1:11" x14ac:dyDescent="0.25">
      <c r="A1" s="1" t="s">
        <v>568</v>
      </c>
    </row>
    <row r="2" spans="1:11" x14ac:dyDescent="0.25">
      <c r="A2" s="1"/>
    </row>
    <row r="3" spans="1:11" x14ac:dyDescent="0.25">
      <c r="A3" s="1" t="s">
        <v>1473</v>
      </c>
      <c r="D3" s="1" t="s">
        <v>1030</v>
      </c>
      <c r="G3" s="1" t="s">
        <v>917</v>
      </c>
      <c r="J3" s="1" t="s">
        <v>916</v>
      </c>
    </row>
    <row r="5" spans="1:11" x14ac:dyDescent="0.25">
      <c r="A5" t="s">
        <v>28</v>
      </c>
      <c r="B5" s="154">
        <v>4</v>
      </c>
      <c r="D5" t="s">
        <v>28</v>
      </c>
      <c r="E5" s="154">
        <v>3</v>
      </c>
      <c r="G5" t="s">
        <v>105</v>
      </c>
      <c r="H5" s="154">
        <v>9</v>
      </c>
      <c r="J5" t="s">
        <v>28</v>
      </c>
      <c r="K5" s="154">
        <v>13</v>
      </c>
    </row>
    <row r="6" spans="1:11" x14ac:dyDescent="0.25">
      <c r="A6" t="s">
        <v>105</v>
      </c>
      <c r="B6" s="163">
        <v>10</v>
      </c>
      <c r="D6" t="s">
        <v>105</v>
      </c>
      <c r="E6" s="163">
        <v>10</v>
      </c>
      <c r="G6" t="s">
        <v>250</v>
      </c>
      <c r="H6" s="163">
        <v>0.5</v>
      </c>
      <c r="J6" t="s">
        <v>105</v>
      </c>
      <c r="K6" s="163">
        <v>24</v>
      </c>
    </row>
    <row r="7" spans="1:11" x14ac:dyDescent="0.25">
      <c r="A7" t="s">
        <v>250</v>
      </c>
      <c r="B7" s="163">
        <f>1/6</f>
        <v>0.16666666666666666</v>
      </c>
      <c r="D7" t="s">
        <v>250</v>
      </c>
      <c r="E7" s="163">
        <f>1/6</f>
        <v>0.16666666666666666</v>
      </c>
      <c r="G7" s="53" t="s">
        <v>140</v>
      </c>
      <c r="H7" s="163">
        <v>0.05</v>
      </c>
      <c r="J7" t="s">
        <v>250</v>
      </c>
      <c r="K7" s="163">
        <v>0.35</v>
      </c>
    </row>
    <row r="8" spans="1:11" x14ac:dyDescent="0.25">
      <c r="A8" t="s">
        <v>430</v>
      </c>
      <c r="B8" s="163">
        <f>COMBIN(B6,B5)</f>
        <v>209.99999999999997</v>
      </c>
      <c r="D8" t="s">
        <v>30</v>
      </c>
      <c r="E8" s="163">
        <f>BINOMDIST(E5,E6,E7,TRUE)</f>
        <v>0.93027215744551128</v>
      </c>
      <c r="G8" s="53" t="s">
        <v>521</v>
      </c>
      <c r="H8" s="155">
        <f>CRITBINOM(H5,H6,1-H7)</f>
        <v>7</v>
      </c>
      <c r="J8" t="s">
        <v>30</v>
      </c>
      <c r="K8" s="163">
        <f>BINOMDIST(K5,K6,K7,TRUE)</f>
        <v>0.98358148913214671</v>
      </c>
    </row>
    <row r="9" spans="1:11" x14ac:dyDescent="0.25">
      <c r="A9" t="s">
        <v>29</v>
      </c>
      <c r="B9" s="155">
        <f>B8*B7^B5*(1-B7)^(B6-B5)</f>
        <v>5.4265875850988174E-2</v>
      </c>
      <c r="D9" t="s">
        <v>182</v>
      </c>
      <c r="E9" s="163">
        <f>1-E8</f>
        <v>6.9727842554488717E-2</v>
      </c>
      <c r="J9" t="s">
        <v>182</v>
      </c>
      <c r="K9" s="163">
        <f>1-K8</f>
        <v>1.6418510867853287E-2</v>
      </c>
    </row>
    <row r="10" spans="1:11" x14ac:dyDescent="0.25">
      <c r="D10" s="53" t="s">
        <v>140</v>
      </c>
      <c r="E10" s="163">
        <v>0.05</v>
      </c>
      <c r="G10" t="s">
        <v>28</v>
      </c>
      <c r="H10" s="154">
        <f>H8+1</f>
        <v>8</v>
      </c>
      <c r="J10" s="53" t="s">
        <v>140</v>
      </c>
      <c r="K10" s="163">
        <v>0.05</v>
      </c>
    </row>
    <row r="11" spans="1:11" x14ac:dyDescent="0.25">
      <c r="A11" t="s">
        <v>29</v>
      </c>
      <c r="B11" s="205">
        <f>BINOMDIST(B5,B6,B7,FALSE)</f>
        <v>5.426587585098816E-2</v>
      </c>
      <c r="D11" s="53" t="s">
        <v>381</v>
      </c>
      <c r="E11" s="152" t="str">
        <f>IF(E9&lt;E10,"yes","no")</f>
        <v>no</v>
      </c>
      <c r="G11" t="s">
        <v>182</v>
      </c>
      <c r="H11" s="155">
        <f>1-BINOMDIST(H10,H5,H6,TRUE)</f>
        <v>1.953125E-3</v>
      </c>
      <c r="J11" s="53" t="s">
        <v>381</v>
      </c>
      <c r="K11" s="152" t="str">
        <f>IF(K9&lt;K10,"yes","no")</f>
        <v>yes</v>
      </c>
    </row>
    <row r="13" spans="1:11" x14ac:dyDescent="0.25">
      <c r="D13" t="s">
        <v>521</v>
      </c>
      <c r="E13" s="205">
        <f>CRITBINOM(E6,E7,1-E10)</f>
        <v>4</v>
      </c>
      <c r="G13" t="s">
        <v>28</v>
      </c>
      <c r="H13" s="154">
        <f>H8</f>
        <v>7</v>
      </c>
      <c r="J13" t="s">
        <v>521</v>
      </c>
      <c r="K13" s="205">
        <f>CRITBINOM(K6,K7,1-K10)</f>
        <v>12</v>
      </c>
    </row>
    <row r="14" spans="1:11" x14ac:dyDescent="0.25">
      <c r="G14" t="s">
        <v>182</v>
      </c>
      <c r="H14" s="155">
        <f>1-BINOMDIST(H13,H5,H6,TRUE)</f>
        <v>1.953125E-2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3"/>
  <dimension ref="A1:C31"/>
  <sheetViews>
    <sheetView workbookViewId="0"/>
  </sheetViews>
  <sheetFormatPr defaultRowHeight="15" x14ac:dyDescent="0.25"/>
  <cols>
    <col min="1" max="1" width="9.140625" customWidth="1"/>
  </cols>
  <sheetData>
    <row r="1" spans="1:3" x14ac:dyDescent="0.25">
      <c r="A1" s="1" t="s">
        <v>522</v>
      </c>
    </row>
    <row r="3" spans="1:3" x14ac:dyDescent="0.25">
      <c r="A3" t="s">
        <v>105</v>
      </c>
      <c r="B3" s="154">
        <v>20</v>
      </c>
    </row>
    <row r="4" spans="1:3" x14ac:dyDescent="0.25">
      <c r="A4" t="s">
        <v>250</v>
      </c>
      <c r="B4" s="163">
        <v>0.25</v>
      </c>
    </row>
    <row r="5" spans="1:3" x14ac:dyDescent="0.25">
      <c r="A5" t="s">
        <v>523</v>
      </c>
      <c r="B5" s="163">
        <f>B3*B4</f>
        <v>5</v>
      </c>
    </row>
    <row r="6" spans="1:3" x14ac:dyDescent="0.25">
      <c r="A6" t="s">
        <v>524</v>
      </c>
      <c r="B6" s="163">
        <f>B5*(1-B4)</f>
        <v>3.75</v>
      </c>
    </row>
    <row r="7" spans="1:3" x14ac:dyDescent="0.25">
      <c r="A7" t="s">
        <v>66</v>
      </c>
      <c r="B7" s="155">
        <f>SQRT(B6)</f>
        <v>1.9364916731037085</v>
      </c>
    </row>
    <row r="10" spans="1:3" x14ac:dyDescent="0.25">
      <c r="A10" s="19" t="s">
        <v>28</v>
      </c>
      <c r="B10" s="19" t="s">
        <v>525</v>
      </c>
      <c r="C10" t="s">
        <v>526</v>
      </c>
    </row>
    <row r="11" spans="1:3" x14ac:dyDescent="0.25">
      <c r="A11">
        <v>0</v>
      </c>
      <c r="B11">
        <f>BINOMDIST(A11,$B$3,$B$4,FALSE)</f>
        <v>3.1712119389339963E-3</v>
      </c>
      <c r="C11">
        <f>NORMDIST(A11,$B$5,$B$7,FALSE)</f>
        <v>7.3493031003682655E-3</v>
      </c>
    </row>
    <row r="12" spans="1:3" x14ac:dyDescent="0.25">
      <c r="A12">
        <f>A11+1</f>
        <v>1</v>
      </c>
      <c r="B12">
        <f t="shared" ref="B12:B31" si="0">BINOMDIST(A12,$B$3,$B$4,FALSE)</f>
        <v>2.1141412926226615E-2</v>
      </c>
      <c r="C12">
        <f t="shared" ref="C12:C31" si="1">NORMDIST(A12,$B$5,$B$7,FALSE)</f>
        <v>2.4400545593852858E-2</v>
      </c>
    </row>
    <row r="13" spans="1:3" x14ac:dyDescent="0.25">
      <c r="A13">
        <f t="shared" ref="A13:A31" si="2">A12+1</f>
        <v>2</v>
      </c>
      <c r="B13">
        <f t="shared" si="0"/>
        <v>6.6947807599717662E-2</v>
      </c>
      <c r="C13">
        <f t="shared" si="1"/>
        <v>6.2049895392207628E-2</v>
      </c>
    </row>
    <row r="14" spans="1:3" x14ac:dyDescent="0.25">
      <c r="A14">
        <f t="shared" si="2"/>
        <v>3</v>
      </c>
      <c r="B14">
        <f t="shared" si="0"/>
        <v>0.13389561519943524</v>
      </c>
      <c r="C14">
        <f t="shared" si="1"/>
        <v>0.12085669349928452</v>
      </c>
    </row>
    <row r="15" spans="1:3" x14ac:dyDescent="0.25">
      <c r="A15">
        <f t="shared" si="2"/>
        <v>4</v>
      </c>
      <c r="B15">
        <f t="shared" si="0"/>
        <v>0.18968545486586663</v>
      </c>
      <c r="C15">
        <f t="shared" si="1"/>
        <v>0.18029700023749379</v>
      </c>
    </row>
    <row r="16" spans="1:3" x14ac:dyDescent="0.25">
      <c r="A16">
        <f t="shared" si="2"/>
        <v>5</v>
      </c>
      <c r="B16">
        <f t="shared" si="0"/>
        <v>0.20233115185692441</v>
      </c>
      <c r="C16">
        <f t="shared" si="1"/>
        <v>0.20601290774570111</v>
      </c>
    </row>
    <row r="17" spans="1:3" x14ac:dyDescent="0.25">
      <c r="A17">
        <f t="shared" si="2"/>
        <v>6</v>
      </c>
      <c r="B17">
        <f t="shared" si="0"/>
        <v>0.1686092932141037</v>
      </c>
      <c r="C17">
        <f t="shared" si="1"/>
        <v>0.18029700023749379</v>
      </c>
    </row>
    <row r="18" spans="1:3" x14ac:dyDescent="0.25">
      <c r="A18">
        <f t="shared" si="2"/>
        <v>7</v>
      </c>
      <c r="B18">
        <f t="shared" si="0"/>
        <v>0.11240619547606913</v>
      </c>
      <c r="C18">
        <f t="shared" si="1"/>
        <v>0.12085669349928452</v>
      </c>
    </row>
    <row r="19" spans="1:3" x14ac:dyDescent="0.25">
      <c r="A19">
        <f t="shared" si="2"/>
        <v>8</v>
      </c>
      <c r="B19">
        <f t="shared" si="0"/>
        <v>6.0886689216204062E-2</v>
      </c>
      <c r="C19">
        <f t="shared" si="1"/>
        <v>6.2049895392207628E-2</v>
      </c>
    </row>
    <row r="20" spans="1:3" x14ac:dyDescent="0.25">
      <c r="A20">
        <f t="shared" si="2"/>
        <v>9</v>
      </c>
      <c r="B20">
        <f t="shared" si="0"/>
        <v>2.7060750762757369E-2</v>
      </c>
      <c r="C20">
        <f t="shared" si="1"/>
        <v>2.4400545593852858E-2</v>
      </c>
    </row>
    <row r="21" spans="1:3" x14ac:dyDescent="0.25">
      <c r="A21">
        <f t="shared" si="2"/>
        <v>10</v>
      </c>
      <c r="B21">
        <f t="shared" si="0"/>
        <v>9.9222752796777041E-3</v>
      </c>
      <c r="C21">
        <f t="shared" si="1"/>
        <v>7.3493031003682655E-3</v>
      </c>
    </row>
    <row r="22" spans="1:3" x14ac:dyDescent="0.25">
      <c r="A22">
        <f t="shared" si="2"/>
        <v>11</v>
      </c>
      <c r="B22">
        <f t="shared" si="0"/>
        <v>3.0067500847508173E-3</v>
      </c>
      <c r="C22">
        <f t="shared" si="1"/>
        <v>1.6954341195802181E-3</v>
      </c>
    </row>
    <row r="23" spans="1:3" x14ac:dyDescent="0.25">
      <c r="A23">
        <f t="shared" si="2"/>
        <v>12</v>
      </c>
      <c r="B23">
        <f t="shared" si="0"/>
        <v>7.5168752118770586E-4</v>
      </c>
      <c r="C23">
        <f t="shared" si="1"/>
        <v>2.9957379207605066E-4</v>
      </c>
    </row>
    <row r="24" spans="1:3" x14ac:dyDescent="0.25">
      <c r="A24">
        <f t="shared" si="2"/>
        <v>13</v>
      </c>
      <c r="B24">
        <f t="shared" si="0"/>
        <v>1.541923120385034E-4</v>
      </c>
      <c r="C24">
        <f t="shared" si="1"/>
        <v>4.0542904000878473E-5</v>
      </c>
    </row>
    <row r="25" spans="1:3" x14ac:dyDescent="0.25">
      <c r="A25">
        <f t="shared" si="2"/>
        <v>14</v>
      </c>
      <c r="B25">
        <f t="shared" si="0"/>
        <v>2.5698718673083962E-5</v>
      </c>
      <c r="C25">
        <f t="shared" si="1"/>
        <v>4.2025610143038761E-6</v>
      </c>
    </row>
    <row r="26" spans="1:3" x14ac:dyDescent="0.25">
      <c r="A26">
        <f t="shared" si="2"/>
        <v>15</v>
      </c>
      <c r="B26">
        <f t="shared" si="0"/>
        <v>3.42649582307786E-6</v>
      </c>
      <c r="C26">
        <f t="shared" si="1"/>
        <v>3.3365784455993171E-7</v>
      </c>
    </row>
    <row r="27" spans="1:3" x14ac:dyDescent="0.25">
      <c r="A27">
        <f t="shared" si="2"/>
        <v>16</v>
      </c>
      <c r="B27">
        <f t="shared" si="0"/>
        <v>3.5692664823727645E-7</v>
      </c>
      <c r="C27">
        <f t="shared" si="1"/>
        <v>2.0289754423084675E-8</v>
      </c>
    </row>
    <row r="28" spans="1:3" x14ac:dyDescent="0.25">
      <c r="A28">
        <f t="shared" si="2"/>
        <v>17</v>
      </c>
      <c r="B28">
        <f t="shared" si="0"/>
        <v>2.7994246920570738E-8</v>
      </c>
      <c r="C28">
        <f t="shared" si="1"/>
        <v>9.4501864998485711E-10</v>
      </c>
    </row>
    <row r="29" spans="1:3" x14ac:dyDescent="0.25">
      <c r="A29">
        <f t="shared" si="2"/>
        <v>18</v>
      </c>
      <c r="B29">
        <f t="shared" si="0"/>
        <v>1.5552359400317114E-9</v>
      </c>
      <c r="C29">
        <f t="shared" si="1"/>
        <v>3.3712589032589398E-11</v>
      </c>
    </row>
    <row r="30" spans="1:3" x14ac:dyDescent="0.25">
      <c r="A30">
        <f t="shared" si="2"/>
        <v>19</v>
      </c>
      <c r="B30">
        <f t="shared" si="0"/>
        <v>5.4569682106375856E-11</v>
      </c>
      <c r="C30">
        <f t="shared" si="1"/>
        <v>9.2115342570611369E-13</v>
      </c>
    </row>
    <row r="31" spans="1:3" x14ac:dyDescent="0.25">
      <c r="A31">
        <f t="shared" si="2"/>
        <v>20</v>
      </c>
      <c r="B31">
        <f t="shared" si="0"/>
        <v>9.0949470177292824E-13</v>
      </c>
      <c r="C31">
        <f t="shared" si="1"/>
        <v>1.9277911173987313E-14</v>
      </c>
    </row>
  </sheetData>
  <pageMargins left="0.7" right="0.7" top="0.75" bottom="0.75" header="0.3" footer="0.3"/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K18"/>
  <sheetViews>
    <sheetView workbookViewId="0">
      <selection activeCell="O5" sqref="O5"/>
    </sheetView>
  </sheetViews>
  <sheetFormatPr defaultRowHeight="15" x14ac:dyDescent="0.25"/>
  <sheetData>
    <row r="1" spans="1:11" x14ac:dyDescent="0.25">
      <c r="A1" s="1" t="s">
        <v>1351</v>
      </c>
    </row>
    <row r="3" spans="1:11" x14ac:dyDescent="0.25">
      <c r="A3" t="s">
        <v>105</v>
      </c>
      <c r="B3" s="486">
        <v>100</v>
      </c>
      <c r="E3" t="s">
        <v>105</v>
      </c>
      <c r="F3" s="486">
        <v>100</v>
      </c>
      <c r="I3" t="s">
        <v>105</v>
      </c>
      <c r="J3" s="486">
        <v>100</v>
      </c>
    </row>
    <row r="4" spans="1:11" x14ac:dyDescent="0.25">
      <c r="A4" t="s">
        <v>250</v>
      </c>
      <c r="B4" s="163">
        <v>0.4</v>
      </c>
      <c r="E4" t="s">
        <v>250</v>
      </c>
      <c r="F4" s="163">
        <v>0.4</v>
      </c>
      <c r="I4" t="s">
        <v>250</v>
      </c>
      <c r="J4" s="163">
        <v>0.4</v>
      </c>
    </row>
    <row r="5" spans="1:11" x14ac:dyDescent="0.25">
      <c r="A5" t="s">
        <v>394</v>
      </c>
      <c r="B5" s="163">
        <v>2</v>
      </c>
      <c r="E5" t="s">
        <v>394</v>
      </c>
      <c r="F5" s="163">
        <v>2</v>
      </c>
      <c r="I5" t="s">
        <v>394</v>
      </c>
      <c r="J5" s="163">
        <v>2</v>
      </c>
    </row>
    <row r="6" spans="1:11" x14ac:dyDescent="0.25">
      <c r="A6" t="s">
        <v>262</v>
      </c>
      <c r="B6" s="155">
        <v>0.05</v>
      </c>
      <c r="E6" t="s">
        <v>262</v>
      </c>
      <c r="F6" s="155">
        <f>C15*2</f>
        <v>4.9565646232986288E-2</v>
      </c>
      <c r="I6" t="s">
        <v>262</v>
      </c>
      <c r="J6" s="155">
        <f>2*(1-K17)</f>
        <v>5.4198395514018172E-2</v>
      </c>
    </row>
    <row r="7" spans="1:11" x14ac:dyDescent="0.25">
      <c r="A7" s="53" t="s">
        <v>1353</v>
      </c>
      <c r="B7" s="486">
        <f>B6/2</f>
        <v>2.5000000000000001E-2</v>
      </c>
      <c r="E7" s="53" t="s">
        <v>1353</v>
      </c>
      <c r="F7" s="486">
        <f>F6/2</f>
        <v>2.4782823116493144E-2</v>
      </c>
      <c r="I7" s="53" t="s">
        <v>1353</v>
      </c>
      <c r="J7" s="486">
        <f>J6/2</f>
        <v>2.7099197757009086E-2</v>
      </c>
    </row>
    <row r="8" spans="1:11" x14ac:dyDescent="0.25">
      <c r="A8" s="147" t="s">
        <v>1354</v>
      </c>
      <c r="B8" s="155">
        <f>1-B7</f>
        <v>0.97499999999999998</v>
      </c>
      <c r="E8" s="147" t="s">
        <v>1354</v>
      </c>
      <c r="F8" s="155">
        <f>1-F7</f>
        <v>0.97521717688350684</v>
      </c>
      <c r="I8" s="147" t="s">
        <v>1354</v>
      </c>
      <c r="J8" s="155">
        <f>1-J7</f>
        <v>0.97290080224299091</v>
      </c>
    </row>
    <row r="9" spans="1:11" x14ac:dyDescent="0.25">
      <c r="B9" s="8"/>
      <c r="F9" s="8"/>
      <c r="J9" s="8"/>
    </row>
    <row r="10" spans="1:11" x14ac:dyDescent="0.25">
      <c r="B10" s="489" t="s">
        <v>1352</v>
      </c>
      <c r="C10" s="489" t="s">
        <v>521</v>
      </c>
      <c r="F10" s="489" t="s">
        <v>1352</v>
      </c>
      <c r="G10" s="489" t="s">
        <v>521</v>
      </c>
      <c r="J10" s="489" t="s">
        <v>1352</v>
      </c>
      <c r="K10" s="489" t="s">
        <v>521</v>
      </c>
    </row>
    <row r="11" spans="1:11" x14ac:dyDescent="0.25">
      <c r="A11" t="s">
        <v>1239</v>
      </c>
      <c r="B11" s="415">
        <f>CRITBINOM(B3,B4,B6/B5)</f>
        <v>31</v>
      </c>
      <c r="C11" s="411" t="e">
        <f ca="1">BINOM_CRIT(B3,B4,B6/B5)</f>
        <v>#NAME?</v>
      </c>
      <c r="E11" t="s">
        <v>1239</v>
      </c>
      <c r="F11" s="415">
        <f>CRITBINOM(F3,F4,F6/F5)</f>
        <v>30</v>
      </c>
      <c r="G11" s="411" t="e">
        <f ca="1">BINOM_CRIT(F3,F4,F6/F5)</f>
        <v>#NAME?</v>
      </c>
      <c r="I11" t="s">
        <v>1239</v>
      </c>
      <c r="J11" s="415">
        <f>CRITBINOM(J3,J4,J6/J5)</f>
        <v>31</v>
      </c>
      <c r="K11" s="411" t="e">
        <f ca="1">BINOM_CRIT(J3,J4,J6/J5)</f>
        <v>#NAME?</v>
      </c>
    </row>
    <row r="12" spans="1:11" x14ac:dyDescent="0.25">
      <c r="A12" t="s">
        <v>1240</v>
      </c>
      <c r="B12" s="157">
        <f>CRITBINOM(B3,B4,1-B6/B5)</f>
        <v>50</v>
      </c>
      <c r="C12" s="150" t="e">
        <f ca="1">BINOM_CRIT(B3,B4,1-B6/B5)</f>
        <v>#NAME?</v>
      </c>
      <c r="E12" t="s">
        <v>1240</v>
      </c>
      <c r="F12" s="157">
        <f>CRITBINOM(F3,F4,1-F6/F5)</f>
        <v>50</v>
      </c>
      <c r="G12" s="150" t="e">
        <f ca="1">BINOM_CRIT(F3,F4,1-F6/F5)</f>
        <v>#NAME?</v>
      </c>
      <c r="I12" t="s">
        <v>1240</v>
      </c>
      <c r="J12" s="157">
        <f>CRITBINOM(J3,J4,1-J6/J5)</f>
        <v>49</v>
      </c>
      <c r="K12" s="150" t="e">
        <f ca="1">BINOM_CRIT(J3,J4,1-J6/J5)</f>
        <v>#NAME?</v>
      </c>
    </row>
    <row r="14" spans="1:11" x14ac:dyDescent="0.25">
      <c r="B14" s="492" t="s">
        <v>28</v>
      </c>
      <c r="C14" s="491" t="s">
        <v>182</v>
      </c>
      <c r="F14" s="492" t="s">
        <v>28</v>
      </c>
      <c r="G14" s="491" t="s">
        <v>182</v>
      </c>
      <c r="J14" s="492" t="s">
        <v>28</v>
      </c>
      <c r="K14" s="491" t="s">
        <v>182</v>
      </c>
    </row>
    <row r="15" spans="1:11" x14ac:dyDescent="0.25">
      <c r="B15" s="489">
        <v>30</v>
      </c>
      <c r="C15">
        <f>BINOMDIST(B15,B$3,B$4,TRUE)</f>
        <v>2.4782823116493144E-2</v>
      </c>
      <c r="F15" s="489">
        <v>30</v>
      </c>
      <c r="G15">
        <f>BINOMDIST(F15,F$3,F$4,TRUE)</f>
        <v>2.4782823116493144E-2</v>
      </c>
      <c r="J15" s="489">
        <v>30</v>
      </c>
      <c r="K15">
        <f>BINOMDIST(J15,J$3,J$4,TRUE)</f>
        <v>2.4782823116493144E-2</v>
      </c>
    </row>
    <row r="16" spans="1:11" x14ac:dyDescent="0.25">
      <c r="B16" s="489">
        <v>31</v>
      </c>
      <c r="C16">
        <f>BINOMDIST(B16,B$3,B$4,TRUE)</f>
        <v>3.9847884234844415E-2</v>
      </c>
      <c r="F16" s="489">
        <v>31</v>
      </c>
      <c r="G16">
        <f>BINOMDIST(F16,F$3,F$4,TRUE)</f>
        <v>3.9847884234844415E-2</v>
      </c>
      <c r="J16" s="489">
        <v>31</v>
      </c>
      <c r="K16">
        <f>BINOMDIST(J16,J$3,J$4,TRUE)</f>
        <v>3.9847884234844415E-2</v>
      </c>
    </row>
    <row r="17" spans="2:11" x14ac:dyDescent="0.25">
      <c r="B17" s="489">
        <v>49</v>
      </c>
      <c r="C17">
        <f>BINOMDIST(B17,B$3,B$4,TRUE)</f>
        <v>0.97290080224299091</v>
      </c>
      <c r="F17" s="489">
        <v>49</v>
      </c>
      <c r="G17">
        <f>BINOMDIST(F17,F$3,F$4,TRUE)</f>
        <v>0.97290080224299091</v>
      </c>
      <c r="J17" s="489">
        <v>49</v>
      </c>
      <c r="K17">
        <f>BINOMDIST(J17,J$3,J$4,TRUE)</f>
        <v>0.97290080224299091</v>
      </c>
    </row>
    <row r="18" spans="2:11" x14ac:dyDescent="0.25">
      <c r="B18" s="490">
        <v>50</v>
      </c>
      <c r="C18" s="276">
        <f>BINOMDIST(B18,B$3,B$4,TRUE)</f>
        <v>0.98323831349683855</v>
      </c>
      <c r="F18" s="490">
        <v>50</v>
      </c>
      <c r="G18" s="276">
        <f>BINOMDIST(F18,F$3,F$4,TRUE)</f>
        <v>0.98323831349683855</v>
      </c>
      <c r="J18" s="490">
        <v>50</v>
      </c>
      <c r="K18" s="276">
        <f>BINOMDIST(J18,J$3,J$4,TRUE)</f>
        <v>0.98323831349683855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6"/>
  <dimension ref="A1:K26"/>
  <sheetViews>
    <sheetView workbookViewId="0"/>
  </sheetViews>
  <sheetFormatPr defaultRowHeight="15" x14ac:dyDescent="0.25"/>
  <sheetData>
    <row r="1" spans="1:11" x14ac:dyDescent="0.25">
      <c r="A1" s="1" t="s">
        <v>1108</v>
      </c>
    </row>
    <row r="2" spans="1:11" x14ac:dyDescent="0.25">
      <c r="A2" s="1"/>
    </row>
    <row r="3" spans="1:11" x14ac:dyDescent="0.25">
      <c r="A3" s="1" t="s">
        <v>1030</v>
      </c>
      <c r="D3" s="1" t="s">
        <v>917</v>
      </c>
      <c r="G3" s="1" t="s">
        <v>916</v>
      </c>
      <c r="J3" s="1" t="s">
        <v>1031</v>
      </c>
    </row>
    <row r="5" spans="1:11" x14ac:dyDescent="0.25">
      <c r="A5" t="s">
        <v>105</v>
      </c>
      <c r="B5" s="154">
        <v>600</v>
      </c>
      <c r="D5" t="s">
        <v>105</v>
      </c>
      <c r="E5" s="154">
        <v>1100</v>
      </c>
      <c r="G5" s="53" t="s">
        <v>140</v>
      </c>
      <c r="H5" s="154">
        <v>0.05</v>
      </c>
      <c r="J5" t="s">
        <v>105</v>
      </c>
      <c r="K5" s="154">
        <v>200</v>
      </c>
    </row>
    <row r="6" spans="1:11" x14ac:dyDescent="0.25">
      <c r="A6" t="s">
        <v>28</v>
      </c>
      <c r="B6" s="163">
        <v>325</v>
      </c>
      <c r="D6" t="s">
        <v>250</v>
      </c>
      <c r="E6" s="163">
        <v>0.5</v>
      </c>
      <c r="G6" t="s">
        <v>357</v>
      </c>
      <c r="H6" s="163">
        <f>NORMSINV(1-H5/2)</f>
        <v>1.9599639845400536</v>
      </c>
      <c r="J6" t="s">
        <v>432</v>
      </c>
      <c r="K6" s="163">
        <v>0.5</v>
      </c>
    </row>
    <row r="7" spans="1:11" x14ac:dyDescent="0.25">
      <c r="A7" t="s">
        <v>250</v>
      </c>
      <c r="B7" s="163">
        <v>0.5</v>
      </c>
      <c r="D7" t="s">
        <v>28</v>
      </c>
      <c r="E7" s="163">
        <v>0.53</v>
      </c>
      <c r="G7" t="s">
        <v>534</v>
      </c>
      <c r="H7" s="163">
        <v>2.5000000000000001E-2</v>
      </c>
      <c r="J7" t="s">
        <v>433</v>
      </c>
      <c r="K7" s="163">
        <v>0.6</v>
      </c>
    </row>
    <row r="8" spans="1:11" x14ac:dyDescent="0.25">
      <c r="A8" s="53" t="s">
        <v>140</v>
      </c>
      <c r="B8" s="163">
        <v>0.05</v>
      </c>
      <c r="D8" t="s">
        <v>372</v>
      </c>
      <c r="E8" s="163">
        <f>SQRT(E7*(1-E7)/E5)</f>
        <v>1.5048406741397756E-2</v>
      </c>
      <c r="G8" t="s">
        <v>535</v>
      </c>
      <c r="H8" s="163" t="s">
        <v>536</v>
      </c>
      <c r="J8" t="s">
        <v>28</v>
      </c>
      <c r="K8" s="163">
        <f>AVERAGE(K6:K7)</f>
        <v>0.55000000000000004</v>
      </c>
    </row>
    <row r="9" spans="1:11" x14ac:dyDescent="0.25">
      <c r="A9" s="53" t="s">
        <v>182</v>
      </c>
      <c r="B9" s="163">
        <f>BINOMDIST(B6,B5,B7,TRUE)</f>
        <v>0.98137588120019825</v>
      </c>
      <c r="D9" s="53" t="s">
        <v>140</v>
      </c>
      <c r="E9" s="163">
        <v>0.05</v>
      </c>
      <c r="G9" t="s">
        <v>105</v>
      </c>
      <c r="H9" s="155">
        <f>(H6*0.5/0.025)^2</f>
        <v>1536.5835282776493</v>
      </c>
      <c r="J9" t="s">
        <v>543</v>
      </c>
      <c r="K9" s="163">
        <f>K7-K6</f>
        <v>9.9999999999999978E-2</v>
      </c>
    </row>
    <row r="10" spans="1:11" x14ac:dyDescent="0.25">
      <c r="A10" s="53" t="s">
        <v>381</v>
      </c>
      <c r="B10" s="152" t="str">
        <f>IF(B9&gt;1-B8/2,"yes","no")</f>
        <v>yes</v>
      </c>
      <c r="D10" s="53" t="s">
        <v>182</v>
      </c>
      <c r="E10" s="163">
        <f>NORMDIST(E7,E6,E8,TRUE)</f>
        <v>0.97690027689698578</v>
      </c>
      <c r="J10" t="s">
        <v>372</v>
      </c>
      <c r="K10" s="163">
        <f>SQRT(2*(K8*(1-K8)/K5))</f>
        <v>4.9749371855330994E-2</v>
      </c>
    </row>
    <row r="11" spans="1:11" x14ac:dyDescent="0.25">
      <c r="D11" s="53" t="s">
        <v>381</v>
      </c>
      <c r="E11" s="152" t="str">
        <f>IF(E10&gt;1-E9,"yes","no")</f>
        <v>yes</v>
      </c>
      <c r="G11" s="53" t="s">
        <v>140</v>
      </c>
      <c r="H11" s="154">
        <v>0.01</v>
      </c>
      <c r="J11" s="53" t="s">
        <v>140</v>
      </c>
      <c r="K11" s="163">
        <v>0.05</v>
      </c>
    </row>
    <row r="12" spans="1:11" x14ac:dyDescent="0.25">
      <c r="A12" t="s">
        <v>533</v>
      </c>
      <c r="G12" t="s">
        <v>357</v>
      </c>
      <c r="H12" s="163">
        <f>NORMSINV(1-H11/2)</f>
        <v>2.5758293035488999</v>
      </c>
      <c r="J12" s="53" t="s">
        <v>182</v>
      </c>
      <c r="K12" s="163">
        <f>NORMDIST(K9,0,K10,TRUE)</f>
        <v>0.97778840757499697</v>
      </c>
    </row>
    <row r="13" spans="1:11" x14ac:dyDescent="0.25">
      <c r="G13" t="s">
        <v>534</v>
      </c>
      <c r="H13" s="163">
        <v>2.5000000000000001E-2</v>
      </c>
      <c r="J13" s="53" t="s">
        <v>381</v>
      </c>
      <c r="K13" s="152" t="str">
        <f>IF(K12&gt;1-K11,"yes","no")</f>
        <v>yes</v>
      </c>
    </row>
    <row r="14" spans="1:11" x14ac:dyDescent="0.25">
      <c r="A14" t="s">
        <v>105</v>
      </c>
      <c r="B14" s="154">
        <f>B5</f>
        <v>600</v>
      </c>
      <c r="D14" t="s">
        <v>63</v>
      </c>
      <c r="E14" s="154">
        <f>E7</f>
        <v>0.53</v>
      </c>
      <c r="G14" t="s">
        <v>535</v>
      </c>
      <c r="H14" s="163" t="s">
        <v>536</v>
      </c>
    </row>
    <row r="15" spans="1:11" x14ac:dyDescent="0.25">
      <c r="A15" t="s">
        <v>250</v>
      </c>
      <c r="B15" s="163">
        <f>B7</f>
        <v>0.5</v>
      </c>
      <c r="D15" t="s">
        <v>372</v>
      </c>
      <c r="E15" s="163">
        <f>E8</f>
        <v>1.5048406741397756E-2</v>
      </c>
      <c r="G15" t="s">
        <v>105</v>
      </c>
      <c r="H15" s="155">
        <f>(H12*0.5/0.025)^2</f>
        <v>2653.9586404084839</v>
      </c>
      <c r="J15" t="s">
        <v>521</v>
      </c>
      <c r="K15" s="205">
        <f>NORMINV(1-K11/2,0,K10)</f>
        <v>9.7506977089939328E-2</v>
      </c>
    </row>
    <row r="16" spans="1:11" x14ac:dyDescent="0.25">
      <c r="A16" t="s">
        <v>28</v>
      </c>
      <c r="B16" s="163">
        <f>B6/B5</f>
        <v>0.54166666666666663</v>
      </c>
      <c r="D16" s="53" t="s">
        <v>140</v>
      </c>
      <c r="E16" s="163">
        <v>0.05</v>
      </c>
    </row>
    <row r="17" spans="1:5" x14ac:dyDescent="0.25">
      <c r="A17" t="s">
        <v>372</v>
      </c>
      <c r="B17" s="163">
        <f>SQRT(B15*(1-B15)/B14)</f>
        <v>2.0412414523193152E-2</v>
      </c>
      <c r="D17" t="s">
        <v>357</v>
      </c>
      <c r="E17" s="163">
        <f>NORMSINV(1-E16/2)</f>
        <v>1.9599639845400536</v>
      </c>
    </row>
    <row r="18" spans="1:5" x14ac:dyDescent="0.25">
      <c r="A18" s="53" t="s">
        <v>140</v>
      </c>
      <c r="B18" s="163">
        <v>0.05</v>
      </c>
      <c r="D18" t="s">
        <v>102</v>
      </c>
      <c r="E18" s="163">
        <f>E14-E8*E17</f>
        <v>0.50050566476215064</v>
      </c>
    </row>
    <row r="19" spans="1:5" x14ac:dyDescent="0.25">
      <c r="A19" t="s">
        <v>182</v>
      </c>
      <c r="B19" s="163">
        <f>NORMDIST(B16,0.5,B17,TRUE)</f>
        <v>0.97938658333141804</v>
      </c>
      <c r="D19" t="s">
        <v>103</v>
      </c>
      <c r="E19" s="155">
        <f>E14+E15*E17</f>
        <v>0.55949433523784942</v>
      </c>
    </row>
    <row r="20" spans="1:5" x14ac:dyDescent="0.25">
      <c r="A20" t="s">
        <v>381</v>
      </c>
      <c r="B20" s="152" t="str">
        <f>IF(B19&gt;1-B18/2,"yes","no")</f>
        <v>yes</v>
      </c>
    </row>
    <row r="21" spans="1:5" x14ac:dyDescent="0.25">
      <c r="A21" s="53"/>
      <c r="D21" t="s">
        <v>63</v>
      </c>
      <c r="E21" s="154">
        <f>E14</f>
        <v>0.53</v>
      </c>
    </row>
    <row r="22" spans="1:5" x14ac:dyDescent="0.25">
      <c r="D22" t="s">
        <v>372</v>
      </c>
      <c r="E22" s="163">
        <f>E15</f>
        <v>1.5048406741397756E-2</v>
      </c>
    </row>
    <row r="23" spans="1:5" x14ac:dyDescent="0.25">
      <c r="D23" s="53" t="s">
        <v>140</v>
      </c>
      <c r="E23" s="163">
        <v>0.01</v>
      </c>
    </row>
    <row r="24" spans="1:5" x14ac:dyDescent="0.25">
      <c r="D24" t="s">
        <v>357</v>
      </c>
      <c r="E24" s="163">
        <f>NORMSINV(1-E23/2)</f>
        <v>2.5758293035488999</v>
      </c>
    </row>
    <row r="25" spans="1:5" x14ac:dyDescent="0.25">
      <c r="D25" t="s">
        <v>102</v>
      </c>
      <c r="E25" s="163">
        <f>E21-E15*E24</f>
        <v>0.49123787294378485</v>
      </c>
    </row>
    <row r="26" spans="1:5" x14ac:dyDescent="0.25">
      <c r="D26" t="s">
        <v>103</v>
      </c>
      <c r="E26" s="155">
        <f>E21+E22*E24</f>
        <v>0.56876212705621521</v>
      </c>
    </row>
  </sheetData>
  <pageMargins left="0.7" right="0.7" top="0.75" bottom="0.75" header="0.3" footer="0.3"/>
  <pageSetup paperSize="9" orientation="portrait" horizontalDpi="300" verticalDpi="300" r:id="rId1"/>
  <ignoredErrors>
    <ignoredError sqref="K8" formulaRange="1"/>
  </ignoredError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5"/>
  <dimension ref="A1:I28"/>
  <sheetViews>
    <sheetView workbookViewId="0"/>
  </sheetViews>
  <sheetFormatPr defaultRowHeight="15" x14ac:dyDescent="0.25"/>
  <cols>
    <col min="3" max="3" width="3.85546875" customWidth="1"/>
    <col min="4" max="4" width="34.28515625" customWidth="1"/>
    <col min="5" max="5" width="6.85546875" customWidth="1"/>
    <col min="8" max="8" width="4.42578125" customWidth="1"/>
    <col min="9" max="9" width="26.7109375" customWidth="1"/>
  </cols>
  <sheetData>
    <row r="1" spans="1:9" x14ac:dyDescent="0.25">
      <c r="A1" s="1" t="s">
        <v>1033</v>
      </c>
    </row>
    <row r="3" spans="1:9" x14ac:dyDescent="0.25">
      <c r="A3" t="s">
        <v>28</v>
      </c>
      <c r="B3" s="315">
        <v>5</v>
      </c>
      <c r="F3" s="228" t="s">
        <v>28</v>
      </c>
      <c r="G3" s="228" t="s">
        <v>29</v>
      </c>
    </row>
    <row r="4" spans="1:9" x14ac:dyDescent="0.25">
      <c r="A4" t="s">
        <v>151</v>
      </c>
      <c r="B4" s="163">
        <v>1</v>
      </c>
      <c r="F4">
        <v>0</v>
      </c>
      <c r="G4">
        <f t="shared" ref="G4:G9" si="0">NEGBINOMDIST(F4,1,0.2)</f>
        <v>0.2</v>
      </c>
      <c r="I4" t="e">
        <f ca="1">FTEXT(G4)</f>
        <v>#NAME?</v>
      </c>
    </row>
    <row r="5" spans="1:9" x14ac:dyDescent="0.25">
      <c r="A5" t="s">
        <v>250</v>
      </c>
      <c r="B5" s="163">
        <v>0.2</v>
      </c>
      <c r="F5">
        <f>F4+1</f>
        <v>1</v>
      </c>
      <c r="G5">
        <f t="shared" si="0"/>
        <v>0.16</v>
      </c>
      <c r="I5" t="e">
        <f ca="1">FTEXT(G5)</f>
        <v>#NAME?</v>
      </c>
    </row>
    <row r="6" spans="1:9" x14ac:dyDescent="0.25">
      <c r="A6" t="s">
        <v>29</v>
      </c>
      <c r="B6" s="163">
        <f>_xlfn.NEGBINOM.DIST(B3,B4,B5,FALSE)</f>
        <v>6.5535999999999997E-2</v>
      </c>
      <c r="D6" t="e">
        <f ca="1">FTEXT(B6)</f>
        <v>#NAME?</v>
      </c>
      <c r="F6">
        <f>F5+1</f>
        <v>2</v>
      </c>
      <c r="G6">
        <f t="shared" si="0"/>
        <v>0.128</v>
      </c>
      <c r="I6" t="e">
        <f ca="1">FTEXT(G6)</f>
        <v>#NAME?</v>
      </c>
    </row>
    <row r="7" spans="1:9" x14ac:dyDescent="0.25">
      <c r="A7" t="s">
        <v>30</v>
      </c>
      <c r="B7" s="155">
        <f>_xlfn.NEGBINOM.DIST(B3,B4,B5,TRUE)</f>
        <v>0.73785599999999985</v>
      </c>
      <c r="D7" t="e">
        <f ca="1">FTEXT(B7)</f>
        <v>#NAME?</v>
      </c>
      <c r="F7">
        <f>F6+1</f>
        <v>3</v>
      </c>
      <c r="G7">
        <f t="shared" si="0"/>
        <v>0.10239999999999999</v>
      </c>
      <c r="I7" t="e">
        <f ca="1">FTEXT(G7)</f>
        <v>#NAME?</v>
      </c>
    </row>
    <row r="8" spans="1:9" x14ac:dyDescent="0.25">
      <c r="F8">
        <f>F7+1</f>
        <v>4</v>
      </c>
      <c r="G8">
        <f t="shared" si="0"/>
        <v>8.1919999999999979E-2</v>
      </c>
      <c r="I8" t="e">
        <f ca="1">FTEXT(G8)</f>
        <v>#NAME?</v>
      </c>
    </row>
    <row r="9" spans="1:9" x14ac:dyDescent="0.25">
      <c r="F9">
        <f>F8+1</f>
        <v>5</v>
      </c>
      <c r="G9">
        <f t="shared" si="0"/>
        <v>6.5535999999999997E-2</v>
      </c>
      <c r="I9" t="e">
        <f ca="1">FTEXT(G9)</f>
        <v>#NAME?</v>
      </c>
    </row>
    <row r="10" spans="1:9" x14ac:dyDescent="0.25">
      <c r="F10" s="228" t="s">
        <v>706</v>
      </c>
      <c r="G10" s="225">
        <f>SUM(G4:G9)</f>
        <v>0.73785600000000007</v>
      </c>
      <c r="I10" t="e">
        <f ca="1">FTEXT(G10)</f>
        <v>#NAME?</v>
      </c>
    </row>
    <row r="11" spans="1:9" x14ac:dyDescent="0.25">
      <c r="A11" s="1" t="s">
        <v>1032</v>
      </c>
      <c r="F11" s="41"/>
      <c r="G11" s="8"/>
    </row>
    <row r="13" spans="1:9" x14ac:dyDescent="0.25">
      <c r="A13" t="s">
        <v>28</v>
      </c>
      <c r="B13" s="315">
        <v>3</v>
      </c>
      <c r="F13" s="228" t="s">
        <v>28</v>
      </c>
      <c r="G13" s="228" t="s">
        <v>29</v>
      </c>
    </row>
    <row r="14" spans="1:9" x14ac:dyDescent="0.25">
      <c r="A14" t="s">
        <v>151</v>
      </c>
      <c r="B14" s="163">
        <v>12</v>
      </c>
      <c r="F14">
        <v>0</v>
      </c>
      <c r="G14">
        <f>NEGBINOMDIST(F14,12,0.7)</f>
        <v>1.3841287200999988E-2</v>
      </c>
      <c r="I14" t="e">
        <f ca="1">FTEXT(G14)</f>
        <v>#NAME?</v>
      </c>
    </row>
    <row r="15" spans="1:9" x14ac:dyDescent="0.25">
      <c r="A15" t="s">
        <v>250</v>
      </c>
      <c r="B15" s="163">
        <v>0.7</v>
      </c>
      <c r="F15">
        <f>F14+1</f>
        <v>1</v>
      </c>
      <c r="G15">
        <f>NEGBINOMDIST(F15,12,0.7)</f>
        <v>4.9828633923599965E-2</v>
      </c>
      <c r="I15" t="e">
        <f ca="1">FTEXT(G15)</f>
        <v>#NAME?</v>
      </c>
    </row>
    <row r="16" spans="1:9" x14ac:dyDescent="0.25">
      <c r="A16" t="s">
        <v>29</v>
      </c>
      <c r="B16" s="163">
        <f>_xlfn.NEGBINOM.DIST(B13,B14,B15,FALSE)</f>
        <v>0.13603217061142783</v>
      </c>
      <c r="D16" t="e">
        <f ca="1">FTEXT(B16)</f>
        <v>#NAME?</v>
      </c>
      <c r="F16">
        <f>F15+1</f>
        <v>2</v>
      </c>
      <c r="G16">
        <f>NEGBINOMDIST(F16,12,0.7)</f>
        <v>9.716583615101998E-2</v>
      </c>
      <c r="I16" t="e">
        <f ca="1">FTEXT(G16)</f>
        <v>#NAME?</v>
      </c>
    </row>
    <row r="17" spans="1:9" x14ac:dyDescent="0.25">
      <c r="A17" t="s">
        <v>30</v>
      </c>
      <c r="B17" s="155">
        <f>_xlfn.NEGBINOM.DIST(B13,B14,B15,TRUE)</f>
        <v>0.29686792788704786</v>
      </c>
      <c r="D17" t="e">
        <f ca="1">FTEXT(B17)</f>
        <v>#NAME?</v>
      </c>
      <c r="F17">
        <f>F16+1</f>
        <v>3</v>
      </c>
      <c r="G17">
        <f>NEGBINOMDIST(F17,12,0.7)</f>
        <v>0.13603217061142783</v>
      </c>
      <c r="I17" t="e">
        <f ca="1">FTEXT(G17)</f>
        <v>#NAME?</v>
      </c>
    </row>
    <row r="18" spans="1:9" x14ac:dyDescent="0.25">
      <c r="F18" s="228" t="s">
        <v>706</v>
      </c>
      <c r="G18" s="225">
        <f>SUM(G14:G17)</f>
        <v>0.29686792788704774</v>
      </c>
      <c r="I18" t="e">
        <f ca="1">FTEXT(G18)</f>
        <v>#NAME?</v>
      </c>
    </row>
    <row r="19" spans="1:9" x14ac:dyDescent="0.25">
      <c r="F19" s="41"/>
      <c r="G19" s="8"/>
    </row>
    <row r="20" spans="1:9" x14ac:dyDescent="0.25">
      <c r="A20" s="1" t="s">
        <v>1037</v>
      </c>
      <c r="F20" s="41"/>
      <c r="G20" s="8"/>
    </row>
    <row r="22" spans="1:9" x14ac:dyDescent="0.25">
      <c r="B22" s="205" t="e">
        <f ca="1">NEGBINOM_INV(0.95, B14, B15) + B14</f>
        <v>#NAME?</v>
      </c>
      <c r="D22" t="e">
        <f ca="1">FTEXT(B22)</f>
        <v>#NAME?</v>
      </c>
    </row>
    <row r="24" spans="1:9" x14ac:dyDescent="0.25">
      <c r="A24" t="s">
        <v>28</v>
      </c>
      <c r="B24" s="315">
        <v>10</v>
      </c>
    </row>
    <row r="25" spans="1:9" x14ac:dyDescent="0.25">
      <c r="A25" t="s">
        <v>151</v>
      </c>
      <c r="B25" s="163">
        <v>12</v>
      </c>
    </row>
    <row r="26" spans="1:9" x14ac:dyDescent="0.25">
      <c r="A26" t="s">
        <v>250</v>
      </c>
      <c r="B26" s="163">
        <v>0.7</v>
      </c>
    </row>
    <row r="27" spans="1:9" x14ac:dyDescent="0.25">
      <c r="A27" t="s">
        <v>29</v>
      </c>
      <c r="B27" s="163">
        <f>_xlfn.NEGBINOM.DIST(B24,B25,B26,FALSE)</f>
        <v>2.8827978405625003E-2</v>
      </c>
    </row>
    <row r="28" spans="1:9" x14ac:dyDescent="0.25">
      <c r="A28" t="s">
        <v>30</v>
      </c>
      <c r="B28" s="155">
        <f>_xlfn.NEGBINOM.DIST(B24,B25,B26,TRUE)</f>
        <v>0.961255211410591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9"/>
  <sheetViews>
    <sheetView workbookViewId="0"/>
  </sheetViews>
  <sheetFormatPr defaultRowHeight="15" x14ac:dyDescent="0.25"/>
  <cols>
    <col min="1" max="4" width="9.5703125" customWidth="1"/>
  </cols>
  <sheetData>
    <row r="1" spans="1:7" x14ac:dyDescent="0.25">
      <c r="A1" s="1" t="s">
        <v>14</v>
      </c>
    </row>
    <row r="3" spans="1:7" x14ac:dyDescent="0.25">
      <c r="A3" s="13"/>
      <c r="B3" s="14" t="s">
        <v>15</v>
      </c>
      <c r="C3" s="14" t="s">
        <v>16</v>
      </c>
      <c r="D3" s="14" t="s">
        <v>17</v>
      </c>
    </row>
    <row r="4" spans="1:7" x14ac:dyDescent="0.25">
      <c r="A4" s="15" t="s">
        <v>18</v>
      </c>
      <c r="B4" s="16">
        <v>500</v>
      </c>
      <c r="C4" s="17">
        <v>40</v>
      </c>
      <c r="D4" s="16">
        <f t="array" ref="D4:D7">B4:B7*C4:C7</f>
        <v>20000</v>
      </c>
      <c r="G4" s="18"/>
    </row>
    <row r="5" spans="1:7" x14ac:dyDescent="0.25">
      <c r="A5" s="15" t="s">
        <v>19</v>
      </c>
      <c r="B5" s="16">
        <v>80</v>
      </c>
      <c r="C5" s="17">
        <v>30</v>
      </c>
      <c r="D5" s="16">
        <v>2400</v>
      </c>
    </row>
    <row r="6" spans="1:7" x14ac:dyDescent="0.25">
      <c r="A6" s="15" t="s">
        <v>20</v>
      </c>
      <c r="B6" s="16">
        <v>150</v>
      </c>
      <c r="C6" s="17">
        <v>130</v>
      </c>
      <c r="D6" s="16">
        <v>19500</v>
      </c>
    </row>
    <row r="7" spans="1:7" x14ac:dyDescent="0.25">
      <c r="A7" s="15" t="s">
        <v>21</v>
      </c>
      <c r="B7" s="16">
        <v>60</v>
      </c>
      <c r="C7" s="17">
        <v>70</v>
      </c>
      <c r="D7" s="16">
        <v>4200</v>
      </c>
    </row>
    <row r="8" spans="1:7" x14ac:dyDescent="0.25">
      <c r="A8" s="13"/>
      <c r="B8" s="17"/>
      <c r="C8" s="17"/>
      <c r="D8" s="16"/>
    </row>
    <row r="9" spans="1:7" x14ac:dyDescent="0.25">
      <c r="A9" s="13"/>
      <c r="B9" s="13"/>
      <c r="C9" s="13"/>
      <c r="D9" s="13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6"/>
  <dimension ref="A1:O55"/>
  <sheetViews>
    <sheetView workbookViewId="0"/>
  </sheetViews>
  <sheetFormatPr defaultRowHeight="15" x14ac:dyDescent="0.25"/>
  <cols>
    <col min="13" max="13" width="9.140625" customWidth="1"/>
  </cols>
  <sheetData>
    <row r="1" spans="1:15" x14ac:dyDescent="0.25">
      <c r="A1" s="1" t="s">
        <v>1039</v>
      </c>
    </row>
    <row r="2" spans="1:15" x14ac:dyDescent="0.25">
      <c r="A2" s="1"/>
    </row>
    <row r="3" spans="1:15" x14ac:dyDescent="0.25">
      <c r="A3" s="1"/>
      <c r="B3" t="s">
        <v>1030</v>
      </c>
      <c r="G3" t="s">
        <v>917</v>
      </c>
      <c r="J3" t="s">
        <v>916</v>
      </c>
      <c r="O3" t="s">
        <v>1031</v>
      </c>
    </row>
    <row r="4" spans="1:15" x14ac:dyDescent="0.25">
      <c r="K4" s="19" t="s">
        <v>151</v>
      </c>
      <c r="L4" s="19" t="s">
        <v>250</v>
      </c>
    </row>
    <row r="5" spans="1:15" x14ac:dyDescent="0.25">
      <c r="A5" t="s">
        <v>28</v>
      </c>
      <c r="B5" s="4">
        <v>2</v>
      </c>
      <c r="C5" s="6">
        <v>3</v>
      </c>
      <c r="F5" t="s">
        <v>28</v>
      </c>
      <c r="G5" s="315">
        <v>0</v>
      </c>
      <c r="I5" t="s">
        <v>28</v>
      </c>
      <c r="J5" s="315">
        <v>3</v>
      </c>
      <c r="K5">
        <v>0</v>
      </c>
      <c r="L5" s="315">
        <f>HYPGEOMDIST($J$5,$J$6,K5,$J$7)</f>
        <v>0</v>
      </c>
      <c r="N5" t="s">
        <v>250</v>
      </c>
      <c r="O5" s="315">
        <v>0.995</v>
      </c>
    </row>
    <row r="6" spans="1:15" x14ac:dyDescent="0.25">
      <c r="A6" t="s">
        <v>105</v>
      </c>
      <c r="B6" s="166">
        <v>3</v>
      </c>
      <c r="C6" s="167">
        <v>3</v>
      </c>
      <c r="F6" t="s">
        <v>105</v>
      </c>
      <c r="G6" s="163">
        <v>200</v>
      </c>
      <c r="I6" t="s">
        <v>105</v>
      </c>
      <c r="J6" s="163">
        <v>100</v>
      </c>
      <c r="K6">
        <f>K5+1</f>
        <v>1</v>
      </c>
      <c r="L6" s="163">
        <f t="shared" ref="L6:L55" si="0">HYPGEOMDIST($J$5,$J$6,K6,$J$7)</f>
        <v>0</v>
      </c>
      <c r="N6" t="s">
        <v>105</v>
      </c>
      <c r="O6" s="163">
        <v>50</v>
      </c>
    </row>
    <row r="7" spans="1:15" x14ac:dyDescent="0.25">
      <c r="A7" t="s">
        <v>151</v>
      </c>
      <c r="B7" s="166">
        <v>4</v>
      </c>
      <c r="C7" s="167">
        <v>4</v>
      </c>
      <c r="F7" t="s">
        <v>28</v>
      </c>
      <c r="G7" s="163">
        <v>200</v>
      </c>
      <c r="I7" t="s">
        <v>382</v>
      </c>
      <c r="J7" s="155">
        <v>500</v>
      </c>
      <c r="K7">
        <f t="shared" ref="K7:K19" si="1">K6+1</f>
        <v>2</v>
      </c>
      <c r="L7" s="163">
        <f t="shared" si="0"/>
        <v>0</v>
      </c>
      <c r="N7" t="s">
        <v>151</v>
      </c>
      <c r="O7" s="163">
        <v>20</v>
      </c>
    </row>
    <row r="8" spans="1:15" x14ac:dyDescent="0.25">
      <c r="A8" t="s">
        <v>382</v>
      </c>
      <c r="B8" s="148">
        <v>12</v>
      </c>
      <c r="C8" s="153">
        <v>12</v>
      </c>
      <c r="F8" t="s">
        <v>382</v>
      </c>
      <c r="G8" s="155">
        <f>50000-2</f>
        <v>49998</v>
      </c>
      <c r="K8">
        <f t="shared" si="1"/>
        <v>3</v>
      </c>
      <c r="L8" s="163">
        <f t="shared" si="0"/>
        <v>7.8083878600574671E-3</v>
      </c>
      <c r="N8" t="s">
        <v>382</v>
      </c>
      <c r="O8" s="155">
        <v>3000</v>
      </c>
    </row>
    <row r="9" spans="1:15" x14ac:dyDescent="0.25">
      <c r="A9" t="s">
        <v>250</v>
      </c>
      <c r="B9" s="229">
        <f>HYPGEOMDIST(B5,B6,B7,B8)</f>
        <v>0.21818181818181812</v>
      </c>
      <c r="C9" s="225">
        <f>HYPGEOMDIST(C5,C6,C7,C8)</f>
        <v>1.8181818181818195E-2</v>
      </c>
      <c r="D9" s="205">
        <f>B9+C9</f>
        <v>0.2363636363636363</v>
      </c>
      <c r="F9" t="s">
        <v>250</v>
      </c>
      <c r="G9" s="315">
        <f>HYPGEOMDIST(G5,G6,G7,G8)</f>
        <v>0.44787585040029648</v>
      </c>
      <c r="K9">
        <f t="shared" si="1"/>
        <v>4</v>
      </c>
      <c r="L9" s="163">
        <f t="shared" si="0"/>
        <v>2.5137667155114576E-2</v>
      </c>
      <c r="N9" t="s">
        <v>28</v>
      </c>
      <c r="O9" s="205" t="e">
        <f ca="1">HYPGEOM_INV(O5,O6,O7,O8)</f>
        <v>#NAME?</v>
      </c>
    </row>
    <row r="10" spans="1:15" x14ac:dyDescent="0.25">
      <c r="F10" t="s">
        <v>558</v>
      </c>
      <c r="G10" s="155">
        <f>1-G9</f>
        <v>0.55212414959970357</v>
      </c>
      <c r="K10">
        <f t="shared" si="1"/>
        <v>5</v>
      </c>
      <c r="L10" s="163">
        <f t="shared" si="0"/>
        <v>5.0554078603279796E-2</v>
      </c>
    </row>
    <row r="11" spans="1:15" x14ac:dyDescent="0.25">
      <c r="K11">
        <f t="shared" si="1"/>
        <v>6</v>
      </c>
      <c r="L11" s="163">
        <f t="shared" si="0"/>
        <v>8.1295043572142886E-2</v>
      </c>
      <c r="N11" t="s">
        <v>28</v>
      </c>
      <c r="O11" s="315" t="e">
        <f ca="1">O9</f>
        <v>#NAME?</v>
      </c>
    </row>
    <row r="12" spans="1:15" x14ac:dyDescent="0.25">
      <c r="K12">
        <f t="shared" si="1"/>
        <v>7</v>
      </c>
      <c r="L12" s="163">
        <f t="shared" si="0"/>
        <v>0.11433144032742164</v>
      </c>
      <c r="N12" t="s">
        <v>105</v>
      </c>
      <c r="O12" s="163">
        <f>O6</f>
        <v>50</v>
      </c>
    </row>
    <row r="13" spans="1:15" x14ac:dyDescent="0.25">
      <c r="K13">
        <f t="shared" si="1"/>
        <v>8</v>
      </c>
      <c r="L13" s="163">
        <f t="shared" si="0"/>
        <v>0.14693793223418725</v>
      </c>
      <c r="N13" t="s">
        <v>151</v>
      </c>
      <c r="O13" s="163">
        <f>O7</f>
        <v>20</v>
      </c>
    </row>
    <row r="14" spans="1:15" x14ac:dyDescent="0.25">
      <c r="K14">
        <f t="shared" si="1"/>
        <v>9</v>
      </c>
      <c r="L14" s="163">
        <f t="shared" si="0"/>
        <v>0.17695269278202436</v>
      </c>
      <c r="N14" t="s">
        <v>382</v>
      </c>
      <c r="O14" s="163">
        <f>O8</f>
        <v>3000</v>
      </c>
    </row>
    <row r="15" spans="1:15" x14ac:dyDescent="0.25">
      <c r="K15">
        <f t="shared" si="1"/>
        <v>10</v>
      </c>
      <c r="L15" s="163">
        <f t="shared" si="0"/>
        <v>0.20284946452172697</v>
      </c>
      <c r="N15" t="s">
        <v>250</v>
      </c>
      <c r="O15" s="205" t="e">
        <f ca="1">_xlfn.HYPGEOM.DIST(O11,O12,O13,O14,TRUE)</f>
        <v>#NAME?</v>
      </c>
    </row>
    <row r="16" spans="1:15" x14ac:dyDescent="0.25">
      <c r="K16">
        <f t="shared" si="1"/>
        <v>11</v>
      </c>
      <c r="L16" s="163">
        <f t="shared" si="0"/>
        <v>0.22370363141005778</v>
      </c>
    </row>
    <row r="17" spans="11:12" x14ac:dyDescent="0.25">
      <c r="K17">
        <f t="shared" si="1"/>
        <v>12</v>
      </c>
      <c r="L17" s="163">
        <f t="shared" si="0"/>
        <v>0.23910517658552857</v>
      </c>
    </row>
    <row r="18" spans="11:12" x14ac:dyDescent="0.25">
      <c r="K18">
        <f t="shared" si="1"/>
        <v>13</v>
      </c>
      <c r="L18" s="163">
        <f t="shared" si="0"/>
        <v>0.24905155995578712</v>
      </c>
    </row>
    <row r="19" spans="11:12" x14ac:dyDescent="0.25">
      <c r="K19">
        <f t="shared" si="1"/>
        <v>14</v>
      </c>
      <c r="L19" s="163">
        <f t="shared" si="0"/>
        <v>0.25384011897677761</v>
      </c>
    </row>
    <row r="20" spans="11:12" x14ac:dyDescent="0.25">
      <c r="K20">
        <f t="shared" ref="K20:K25" si="2">K19+1</f>
        <v>15</v>
      </c>
      <c r="L20" s="163">
        <f t="shared" si="0"/>
        <v>0.25397069516966692</v>
      </c>
    </row>
    <row r="21" spans="11:12" x14ac:dyDescent="0.25">
      <c r="K21">
        <f t="shared" si="2"/>
        <v>16</v>
      </c>
      <c r="L21" s="163">
        <f t="shared" si="0"/>
        <v>0.25006345370551814</v>
      </c>
    </row>
    <row r="22" spans="11:12" x14ac:dyDescent="0.25">
      <c r="K22">
        <f t="shared" si="2"/>
        <v>17</v>
      </c>
      <c r="L22" s="163">
        <f t="shared" si="0"/>
        <v>0.24279330902134066</v>
      </c>
    </row>
    <row r="23" spans="11:12" x14ac:dyDescent="0.25">
      <c r="K23">
        <f t="shared" si="2"/>
        <v>18</v>
      </c>
      <c r="L23" s="163">
        <f t="shared" si="0"/>
        <v>0.23284029138444104</v>
      </c>
    </row>
    <row r="24" spans="11:12" x14ac:dyDescent="0.25">
      <c r="K24">
        <f t="shared" si="2"/>
        <v>19</v>
      </c>
      <c r="L24" s="163">
        <f t="shared" si="0"/>
        <v>0.22085408862515374</v>
      </c>
    </row>
    <row r="25" spans="11:12" x14ac:dyDescent="0.25">
      <c r="K25">
        <f t="shared" si="2"/>
        <v>20</v>
      </c>
      <c r="L25" s="163">
        <f t="shared" si="0"/>
        <v>0.20743052472070225</v>
      </c>
    </row>
    <row r="26" spans="11:12" x14ac:dyDescent="0.25">
      <c r="K26">
        <f t="shared" ref="K26:K55" si="3">K25+1</f>
        <v>21</v>
      </c>
      <c r="L26" s="163">
        <f t="shared" si="0"/>
        <v>0.19309765165840359</v>
      </c>
    </row>
    <row r="27" spans="11:12" x14ac:dyDescent="0.25">
      <c r="K27">
        <f t="shared" si="3"/>
        <v>22</v>
      </c>
      <c r="L27" s="163">
        <f t="shared" si="0"/>
        <v>0.17830926980960593</v>
      </c>
    </row>
    <row r="28" spans="11:12" x14ac:dyDescent="0.25">
      <c r="K28">
        <f t="shared" si="3"/>
        <v>23</v>
      </c>
      <c r="L28" s="163">
        <f t="shared" si="0"/>
        <v>0.16344394679305183</v>
      </c>
    </row>
    <row r="29" spans="11:12" x14ac:dyDescent="0.25">
      <c r="K29">
        <f t="shared" si="3"/>
        <v>24</v>
      </c>
      <c r="L29" s="163">
        <f t="shared" si="0"/>
        <v>0.14880790603500405</v>
      </c>
    </row>
    <row r="30" spans="11:12" x14ac:dyDescent="0.25">
      <c r="K30">
        <f t="shared" si="3"/>
        <v>25</v>
      </c>
      <c r="L30" s="163">
        <f t="shared" si="0"/>
        <v>0.13464046119954756</v>
      </c>
    </row>
    <row r="31" spans="11:12" x14ac:dyDescent="0.25">
      <c r="K31">
        <f t="shared" si="3"/>
        <v>26</v>
      </c>
      <c r="L31" s="163">
        <f t="shared" si="0"/>
        <v>0.12112095676605514</v>
      </c>
    </row>
    <row r="32" spans="11:12" x14ac:dyDescent="0.25">
      <c r="K32">
        <f t="shared" si="3"/>
        <v>27</v>
      </c>
      <c r="L32" s="163">
        <f t="shared" si="0"/>
        <v>0.10837642571393073</v>
      </c>
    </row>
    <row r="33" spans="11:12" x14ac:dyDescent="0.25">
      <c r="K33">
        <f t="shared" si="3"/>
        <v>28</v>
      </c>
      <c r="L33" s="163">
        <f t="shared" si="0"/>
        <v>9.6489387730762183E-2</v>
      </c>
    </row>
    <row r="34" spans="11:12" x14ac:dyDescent="0.25">
      <c r="K34">
        <f t="shared" si="3"/>
        <v>29</v>
      </c>
      <c r="L34" s="163">
        <f t="shared" si="0"/>
        <v>8.5505385558347483E-2</v>
      </c>
    </row>
    <row r="35" spans="11:12" x14ac:dyDescent="0.25">
      <c r="K35">
        <f t="shared" si="3"/>
        <v>30</v>
      </c>
      <c r="L35" s="163">
        <f t="shared" si="0"/>
        <v>7.5439995750936309E-2</v>
      </c>
    </row>
    <row r="36" spans="11:12" x14ac:dyDescent="0.25">
      <c r="K36">
        <f t="shared" si="3"/>
        <v>31</v>
      </c>
      <c r="L36" s="163">
        <f t="shared" si="0"/>
        <v>6.6285157360796029E-2</v>
      </c>
    </row>
    <row r="37" spans="11:12" x14ac:dyDescent="0.25">
      <c r="K37">
        <f t="shared" si="3"/>
        <v>32</v>
      </c>
      <c r="L37" s="163">
        <f t="shared" si="0"/>
        <v>5.8014742535322184E-2</v>
      </c>
    </row>
    <row r="38" spans="11:12" x14ac:dyDescent="0.25">
      <c r="K38">
        <f t="shared" si="3"/>
        <v>33</v>
      </c>
      <c r="L38" s="163">
        <f t="shared" si="0"/>
        <v>5.0589351343301191E-2</v>
      </c>
    </row>
    <row r="39" spans="11:12" x14ac:dyDescent="0.25">
      <c r="K39">
        <f t="shared" si="3"/>
        <v>34</v>
      </c>
      <c r="L39" s="163">
        <f t="shared" si="0"/>
        <v>4.3960353657437973E-2</v>
      </c>
    </row>
    <row r="40" spans="11:12" x14ac:dyDescent="0.25">
      <c r="K40">
        <f t="shared" si="3"/>
        <v>35</v>
      </c>
      <c r="L40" s="163">
        <f t="shared" si="0"/>
        <v>3.8073227433329596E-2</v>
      </c>
    </row>
    <row r="41" spans="11:12" x14ac:dyDescent="0.25">
      <c r="K41">
        <f t="shared" si="3"/>
        <v>36</v>
      </c>
      <c r="L41" s="163">
        <f t="shared" si="0"/>
        <v>3.2870258523085762E-2</v>
      </c>
    </row>
    <row r="42" spans="11:12" x14ac:dyDescent="0.25">
      <c r="K42">
        <f t="shared" si="3"/>
        <v>37</v>
      </c>
      <c r="L42" s="163">
        <f t="shared" si="0"/>
        <v>2.8292674980031837E-2</v>
      </c>
    </row>
    <row r="43" spans="11:12" x14ac:dyDescent="0.25">
      <c r="K43">
        <f t="shared" si="3"/>
        <v>38</v>
      </c>
      <c r="L43" s="163">
        <f t="shared" si="0"/>
        <v>2.4282290874562285E-2</v>
      </c>
    </row>
    <row r="44" spans="11:12" x14ac:dyDescent="0.25">
      <c r="K44">
        <f t="shared" si="3"/>
        <v>39</v>
      </c>
      <c r="L44" s="163">
        <f t="shared" si="0"/>
        <v>2.0782732720021301E-2</v>
      </c>
    </row>
    <row r="45" spans="11:12" x14ac:dyDescent="0.25">
      <c r="K45">
        <f t="shared" si="3"/>
        <v>40</v>
      </c>
      <c r="L45" s="163">
        <f t="shared" si="0"/>
        <v>1.7740317078238269E-2</v>
      </c>
    </row>
    <row r="46" spans="11:12" x14ac:dyDescent="0.25">
      <c r="K46">
        <f t="shared" si="3"/>
        <v>41</v>
      </c>
      <c r="L46" s="163">
        <f t="shared" si="0"/>
        <v>1.5104641823536638E-2</v>
      </c>
    </row>
    <row r="47" spans="11:12" x14ac:dyDescent="0.25">
      <c r="K47">
        <f t="shared" si="3"/>
        <v>42</v>
      </c>
      <c r="L47" s="163">
        <f t="shared" si="0"/>
        <v>1.2828946666948863E-2</v>
      </c>
    </row>
    <row r="48" spans="11:12" x14ac:dyDescent="0.25">
      <c r="K48">
        <f t="shared" si="3"/>
        <v>43</v>
      </c>
      <c r="L48" s="163">
        <f t="shared" si="0"/>
        <v>1.0870291436192473E-2</v>
      </c>
    </row>
    <row r="49" spans="11:12" x14ac:dyDescent="0.25">
      <c r="K49">
        <f t="shared" si="3"/>
        <v>44</v>
      </c>
      <c r="L49" s="163">
        <f t="shared" si="0"/>
        <v>9.1895936568975652E-3</v>
      </c>
    </row>
    <row r="50" spans="11:12" x14ac:dyDescent="0.25">
      <c r="K50">
        <f t="shared" si="3"/>
        <v>45</v>
      </c>
      <c r="L50" s="163">
        <f t="shared" si="0"/>
        <v>7.7515604389713716E-3</v>
      </c>
    </row>
    <row r="51" spans="11:12" x14ac:dyDescent="0.25">
      <c r="K51">
        <f t="shared" si="3"/>
        <v>46</v>
      </c>
      <c r="L51" s="163">
        <f t="shared" si="0"/>
        <v>6.5245436907222431E-3</v>
      </c>
    </row>
    <row r="52" spans="11:12" x14ac:dyDescent="0.25">
      <c r="K52">
        <f t="shared" si="3"/>
        <v>47</v>
      </c>
      <c r="L52" s="163">
        <f t="shared" si="0"/>
        <v>5.4803423401395893E-3</v>
      </c>
    </row>
    <row r="53" spans="11:12" x14ac:dyDescent="0.25">
      <c r="K53">
        <f t="shared" si="3"/>
        <v>48</v>
      </c>
      <c r="L53" s="163">
        <f t="shared" si="0"/>
        <v>4.5939705620949393E-3</v>
      </c>
    </row>
    <row r="54" spans="11:12" x14ac:dyDescent="0.25">
      <c r="K54">
        <f t="shared" si="3"/>
        <v>49</v>
      </c>
      <c r="L54" s="163">
        <f t="shared" si="0"/>
        <v>3.8434069799750609E-3</v>
      </c>
    </row>
    <row r="55" spans="11:12" x14ac:dyDescent="0.25">
      <c r="K55">
        <f t="shared" si="3"/>
        <v>50</v>
      </c>
      <c r="L55" s="155">
        <f t="shared" si="0"/>
        <v>3.2093363940915464E-3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5"/>
  <dimension ref="A1:AI53"/>
  <sheetViews>
    <sheetView topLeftCell="T1" workbookViewId="0">
      <selection activeCell="AH4" sqref="AH4"/>
    </sheetView>
  </sheetViews>
  <sheetFormatPr defaultRowHeight="15" x14ac:dyDescent="0.25"/>
  <cols>
    <col min="1" max="1" width="5.85546875" customWidth="1"/>
    <col min="3" max="3" width="4.28515625" customWidth="1"/>
    <col min="4" max="4" width="6.5703125" customWidth="1"/>
    <col min="6" max="6" width="5.42578125" customWidth="1"/>
    <col min="7" max="7" width="4.85546875" customWidth="1"/>
    <col min="8" max="8" width="4.28515625" customWidth="1"/>
    <col min="9" max="9" width="6.42578125" customWidth="1"/>
    <col min="21" max="21" width="5.42578125" customWidth="1"/>
    <col min="22" max="22" width="4.85546875" customWidth="1"/>
    <col min="23" max="23" width="4.28515625" customWidth="1"/>
    <col min="24" max="24" width="6.42578125" customWidth="1"/>
    <col min="29" max="29" width="5.42578125" customWidth="1"/>
    <col min="30" max="30" width="4.85546875" customWidth="1"/>
    <col min="31" max="31" width="4.28515625" customWidth="1"/>
    <col min="32" max="32" width="6.42578125" customWidth="1"/>
  </cols>
  <sheetData>
    <row r="1" spans="1:35" x14ac:dyDescent="0.25">
      <c r="A1" s="1" t="s">
        <v>531</v>
      </c>
    </row>
    <row r="2" spans="1:35" x14ac:dyDescent="0.25">
      <c r="J2" s="592" t="s">
        <v>262</v>
      </c>
      <c r="K2" s="592"/>
      <c r="L2" s="592"/>
      <c r="Y2" s="592" t="s">
        <v>262</v>
      </c>
      <c r="Z2" s="592"/>
      <c r="AA2" s="592"/>
      <c r="AG2" s="592" t="s">
        <v>262</v>
      </c>
      <c r="AH2" s="592"/>
      <c r="AI2" s="592"/>
    </row>
    <row r="3" spans="1:35" x14ac:dyDescent="0.25">
      <c r="A3" t="s">
        <v>105</v>
      </c>
      <c r="B3" s="154">
        <v>500</v>
      </c>
      <c r="D3" t="s">
        <v>105</v>
      </c>
      <c r="E3" s="154">
        <v>500</v>
      </c>
      <c r="I3" s="19" t="s">
        <v>28</v>
      </c>
      <c r="J3" s="19">
        <v>2</v>
      </c>
      <c r="K3" s="19">
        <v>4</v>
      </c>
      <c r="L3">
        <v>6</v>
      </c>
      <c r="X3" s="19" t="s">
        <v>28</v>
      </c>
      <c r="Y3" s="19">
        <v>1</v>
      </c>
      <c r="Z3" s="19">
        <v>2</v>
      </c>
      <c r="AA3">
        <v>4</v>
      </c>
      <c r="AF3" s="19" t="s">
        <v>28</v>
      </c>
      <c r="AG3" s="19">
        <v>0.5</v>
      </c>
      <c r="AH3" s="19">
        <v>1</v>
      </c>
      <c r="AI3">
        <v>2</v>
      </c>
    </row>
    <row r="4" spans="1:35" x14ac:dyDescent="0.25">
      <c r="A4" s="53" t="s">
        <v>140</v>
      </c>
      <c r="B4" s="163">
        <v>37</v>
      </c>
      <c r="D4" s="53" t="s">
        <v>140</v>
      </c>
      <c r="E4" s="163">
        <v>37</v>
      </c>
      <c r="F4" s="19" t="s">
        <v>528</v>
      </c>
      <c r="G4" s="205">
        <v>8</v>
      </c>
      <c r="I4" s="8">
        <v>0</v>
      </c>
      <c r="J4" s="316">
        <f>_xlfn.BETA.DIST(I4,J$3,$G$4,FALSE)</f>
        <v>0</v>
      </c>
      <c r="K4" s="292">
        <f>_xlfn.BETA.DIST(I4,K$3,$G$4,FALSE)</f>
        <v>0</v>
      </c>
      <c r="L4" s="317">
        <f>_xlfn.BETA.DIST(I4,L$3,$G$4,FALSE)</f>
        <v>0</v>
      </c>
      <c r="U4" s="19" t="s">
        <v>528</v>
      </c>
      <c r="V4" s="205">
        <v>1</v>
      </c>
      <c r="X4" s="8">
        <v>0</v>
      </c>
      <c r="Y4" s="316" t="e">
        <f>_xlfn.BETA.DIST(X4,Y$3,$V$4,FALSE)</f>
        <v>#NUM!</v>
      </c>
      <c r="Z4" s="5">
        <f>_xlfn.BETA.DIST(X4,Z$3,$V$4,FALSE)</f>
        <v>0</v>
      </c>
      <c r="AA4" s="317">
        <f>_xlfn.BETA.DIST(X4,AA$3,$V$4,FALSE)</f>
        <v>0</v>
      </c>
      <c r="AC4" s="19" t="s">
        <v>528</v>
      </c>
      <c r="AD4" s="205">
        <v>0.5</v>
      </c>
      <c r="AF4" s="8">
        <v>0</v>
      </c>
      <c r="AG4" s="316" t="e">
        <f>_xlfn.BETA.DIST(AF4,AG$3,$AD$4,FALSE)</f>
        <v>#NUM!</v>
      </c>
      <c r="AH4" s="5" t="e">
        <f>_xlfn.BETA.DIST(AF4,AH$3,$AD$4,FALSE)</f>
        <v>#NUM!</v>
      </c>
      <c r="AI4" s="317">
        <f>_xlfn.BETA.DIST(AF4,AI$3,$AD$4,FALSE)</f>
        <v>0</v>
      </c>
    </row>
    <row r="5" spans="1:35" x14ac:dyDescent="0.25">
      <c r="A5" t="s">
        <v>528</v>
      </c>
      <c r="B5" s="163">
        <f>B3-B4</f>
        <v>463</v>
      </c>
      <c r="D5" t="s">
        <v>528</v>
      </c>
      <c r="E5" s="163">
        <f>E3-E4</f>
        <v>463</v>
      </c>
      <c r="I5" s="8">
        <f>I4+0.02</f>
        <v>0.02</v>
      </c>
      <c r="J5" s="166">
        <f t="shared" ref="J5:J53" si="0">_xlfn.BETA.DIST(I5,J$3,$G$4,FALSE)</f>
        <v>1.2501007678752769</v>
      </c>
      <c r="K5" s="8">
        <f t="shared" ref="K5:K53" si="1">_xlfn.BETA.DIST(I5,K$3,$G$4,FALSE)</f>
        <v>9.1674056310853628E-3</v>
      </c>
      <c r="L5" s="167">
        <f t="shared" ref="L5:L53" si="2">_xlfn.BETA.DIST(I5,L$3,$G$4,FALSE)</f>
        <v>2.8602305568986287E-5</v>
      </c>
      <c r="X5" s="8">
        <f>X4+0.02</f>
        <v>0.02</v>
      </c>
      <c r="Y5" s="166">
        <f t="shared" ref="Y5:Y53" si="3">_xlfn.BETA.DIST(X5,Y$3,$V$4,FALSE)</f>
        <v>1</v>
      </c>
      <c r="Z5" s="8">
        <f t="shared" ref="Z5:Z53" si="4">_xlfn.BETA.DIST(X5,Z$3,$V$4,FALSE)</f>
        <v>0.04</v>
      </c>
      <c r="AA5" s="167">
        <f t="shared" ref="AA5:AA53" si="5">_xlfn.BETA.DIST(X5,AA$3,$V$4,FALSE)</f>
        <v>3.2000000000000026E-5</v>
      </c>
      <c r="AF5" s="8">
        <f>AF4+0.02</f>
        <v>0.02</v>
      </c>
      <c r="AG5" s="166">
        <f t="shared" ref="AG5:AG53" si="6">_xlfn.BETA.DIST(AF5,AG$3,$AD$4,FALSE)</f>
        <v>2.2736420441699332</v>
      </c>
      <c r="AH5" s="8">
        <f t="shared" ref="AH5:AH53" si="7">_xlfn.BETA.DIST(AF5,AH$3,$AD$4,FALSE)</f>
        <v>0.50507627227610541</v>
      </c>
      <c r="AI5" s="167">
        <f t="shared" ref="AI5:AI53" si="8">_xlfn.BETA.DIST(AF5,AI$3,$AD$4,FALSE)</f>
        <v>1.5152288168283162E-2</v>
      </c>
    </row>
    <row r="6" spans="1:35" x14ac:dyDescent="0.25">
      <c r="A6" t="s">
        <v>28</v>
      </c>
      <c r="B6" s="163">
        <v>0.1</v>
      </c>
      <c r="D6" t="s">
        <v>262</v>
      </c>
      <c r="E6" s="163">
        <v>0.05</v>
      </c>
      <c r="G6" s="53" t="s">
        <v>1161</v>
      </c>
      <c r="I6" s="8">
        <f t="shared" ref="I6:I23" si="9">I5+0.02</f>
        <v>0.04</v>
      </c>
      <c r="J6" s="166">
        <f t="shared" si="0"/>
        <v>2.1641687369515008</v>
      </c>
      <c r="K6" s="8">
        <f t="shared" si="1"/>
        <v>6.3482282950577423E-2</v>
      </c>
      <c r="L6" s="167">
        <f t="shared" si="2"/>
        <v>7.9225889122320581E-4</v>
      </c>
      <c r="V6" s="53" t="s">
        <v>1474</v>
      </c>
      <c r="X6" s="8">
        <f t="shared" ref="X6:X53" si="10">X5+0.02</f>
        <v>0.04</v>
      </c>
      <c r="Y6" s="166">
        <f t="shared" si="3"/>
        <v>1</v>
      </c>
      <c r="Z6" s="8">
        <f t="shared" si="4"/>
        <v>0.08</v>
      </c>
      <c r="AA6" s="167">
        <f t="shared" si="5"/>
        <v>2.5600000000000026E-4</v>
      </c>
      <c r="AD6" s="53" t="s">
        <v>1475</v>
      </c>
      <c r="AF6" s="8">
        <f t="shared" ref="AF6:AF53" si="11">AF5+0.02</f>
        <v>0.04</v>
      </c>
      <c r="AG6" s="166">
        <f t="shared" si="6"/>
        <v>1.6243683359034917</v>
      </c>
      <c r="AH6" s="8">
        <f t="shared" si="7"/>
        <v>0.5103103630798288</v>
      </c>
      <c r="AI6" s="167">
        <f t="shared" si="8"/>
        <v>3.0618621784789732E-2</v>
      </c>
    </row>
    <row r="7" spans="1:35" x14ac:dyDescent="0.25">
      <c r="A7" t="s">
        <v>30</v>
      </c>
      <c r="B7" s="155">
        <f>BETADIST(B6,B4,B5)</f>
        <v>0.98071606245988963</v>
      </c>
      <c r="D7" t="s">
        <v>102</v>
      </c>
      <c r="E7" s="163">
        <f>BETAINV(E6/2,E4,E5)</f>
        <v>5.2741687720732705E-2</v>
      </c>
      <c r="G7" s="53" t="s">
        <v>1162</v>
      </c>
      <c r="I7" s="8">
        <f t="shared" si="9"/>
        <v>0.06</v>
      </c>
      <c r="J7" s="166">
        <f t="shared" si="0"/>
        <v>2.8014232069122049</v>
      </c>
      <c r="K7" s="8">
        <f t="shared" si="1"/>
        <v>0.18489393165620557</v>
      </c>
      <c r="L7" s="167">
        <f t="shared" si="2"/>
        <v>5.191821600906252E-3</v>
      </c>
      <c r="V7" s="53" t="s">
        <v>1161</v>
      </c>
      <c r="X7" s="8">
        <f t="shared" si="10"/>
        <v>0.06</v>
      </c>
      <c r="Y7" s="166">
        <f t="shared" si="3"/>
        <v>1</v>
      </c>
      <c r="Z7" s="8">
        <f t="shared" si="4"/>
        <v>0.12</v>
      </c>
      <c r="AA7" s="167">
        <f t="shared" si="5"/>
        <v>8.639999999999991E-4</v>
      </c>
      <c r="AD7" s="53" t="s">
        <v>1474</v>
      </c>
      <c r="AF7" s="8">
        <f t="shared" si="11"/>
        <v>0.06</v>
      </c>
      <c r="AG7" s="166">
        <f t="shared" si="6"/>
        <v>1.3403264107207216</v>
      </c>
      <c r="AH7" s="8">
        <f t="shared" si="7"/>
        <v>0.51571062312939675</v>
      </c>
      <c r="AI7" s="167">
        <f t="shared" si="8"/>
        <v>4.6413956081645696E-2</v>
      </c>
    </row>
    <row r="8" spans="1:35" x14ac:dyDescent="0.25">
      <c r="D8" t="s">
        <v>103</v>
      </c>
      <c r="E8" s="155">
        <f>BETAINV(1-E6/2,E4,E5)</f>
        <v>9.8481588998096781E-2</v>
      </c>
      <c r="G8" s="53" t="s">
        <v>1163</v>
      </c>
      <c r="I8" s="8">
        <f t="shared" si="9"/>
        <v>0.08</v>
      </c>
      <c r="J8" s="166">
        <f t="shared" si="0"/>
        <v>3.2131964231221253</v>
      </c>
      <c r="K8" s="8">
        <f t="shared" si="1"/>
        <v>0.3770150469796627</v>
      </c>
      <c r="L8" s="167">
        <f t="shared" si="2"/>
        <v>1.882059114522475E-2</v>
      </c>
      <c r="V8" s="53" t="s">
        <v>1162</v>
      </c>
      <c r="X8" s="8">
        <f t="shared" si="10"/>
        <v>0.08</v>
      </c>
      <c r="Y8" s="166">
        <f t="shared" si="3"/>
        <v>1</v>
      </c>
      <c r="Z8" s="8">
        <f t="shared" si="4"/>
        <v>0.15999999999999995</v>
      </c>
      <c r="AA8" s="167">
        <f t="shared" si="5"/>
        <v>2.047999999999999E-3</v>
      </c>
      <c r="AD8" s="53" t="s">
        <v>1161</v>
      </c>
      <c r="AF8" s="8">
        <f t="shared" si="11"/>
        <v>0.08</v>
      </c>
      <c r="AG8" s="166">
        <f t="shared" si="6"/>
        <v>1.173305807059519</v>
      </c>
      <c r="AH8" s="8">
        <f t="shared" si="7"/>
        <v>0.5212860351426869</v>
      </c>
      <c r="AI8" s="167">
        <f t="shared" si="8"/>
        <v>6.2554324217122426E-2</v>
      </c>
    </row>
    <row r="9" spans="1:35" x14ac:dyDescent="0.25">
      <c r="I9" s="8">
        <f t="shared" si="9"/>
        <v>0.1</v>
      </c>
      <c r="J9" s="166">
        <f t="shared" si="0"/>
        <v>3.4437376800000008</v>
      </c>
      <c r="K9" s="8">
        <f t="shared" si="1"/>
        <v>0.63135190799999996</v>
      </c>
      <c r="L9" s="167">
        <f t="shared" si="2"/>
        <v>4.9245448824000025E-2</v>
      </c>
      <c r="X9" s="8">
        <f t="shared" si="10"/>
        <v>0.1</v>
      </c>
      <c r="Y9" s="166">
        <f t="shared" si="3"/>
        <v>1</v>
      </c>
      <c r="Z9" s="8">
        <f t="shared" si="4"/>
        <v>0.20000000000000004</v>
      </c>
      <c r="AA9" s="167">
        <f t="shared" si="5"/>
        <v>4.000000000000001E-3</v>
      </c>
      <c r="AF9" s="8">
        <f t="shared" si="11"/>
        <v>0.1</v>
      </c>
      <c r="AG9" s="166">
        <f t="shared" si="6"/>
        <v>1.0610329539459689</v>
      </c>
      <c r="AH9" s="8">
        <f t="shared" si="7"/>
        <v>0.52704627669472992</v>
      </c>
      <c r="AI9" s="167">
        <f t="shared" si="8"/>
        <v>7.9056941504209499E-2</v>
      </c>
    </row>
    <row r="10" spans="1:35" x14ac:dyDescent="0.25">
      <c r="I10" s="8">
        <f t="shared" si="9"/>
        <v>0.12000000000000001</v>
      </c>
      <c r="J10" s="166">
        <f t="shared" si="0"/>
        <v>3.5309571526361094</v>
      </c>
      <c r="K10" s="8">
        <f t="shared" si="1"/>
        <v>0.93217268829593336</v>
      </c>
      <c r="L10" s="167">
        <f t="shared" si="2"/>
        <v>0.10470163634939925</v>
      </c>
      <c r="X10" s="8">
        <f t="shared" si="10"/>
        <v>0.12000000000000001</v>
      </c>
      <c r="Y10" s="166">
        <f t="shared" si="3"/>
        <v>1</v>
      </c>
      <c r="Z10" s="8">
        <f t="shared" si="4"/>
        <v>0.24000000000000002</v>
      </c>
      <c r="AA10" s="167">
        <f t="shared" si="5"/>
        <v>6.9120000000000006E-3</v>
      </c>
      <c r="AF10" s="8">
        <f t="shared" si="11"/>
        <v>0.12000000000000001</v>
      </c>
      <c r="AG10" s="166">
        <f t="shared" si="6"/>
        <v>0.97953096209561241</v>
      </c>
      <c r="AH10" s="8">
        <f t="shared" si="7"/>
        <v>0.53300179088902611</v>
      </c>
      <c r="AI10" s="167">
        <f t="shared" si="8"/>
        <v>9.5940322360024699E-2</v>
      </c>
    </row>
    <row r="11" spans="1:35" x14ac:dyDescent="0.25">
      <c r="I11" s="8">
        <f t="shared" si="9"/>
        <v>0.14000000000000001</v>
      </c>
      <c r="J11" s="166">
        <f t="shared" si="0"/>
        <v>3.5071124479469575</v>
      </c>
      <c r="K11" s="8">
        <f t="shared" si="1"/>
        <v>1.2602224062956064</v>
      </c>
      <c r="L11" s="167">
        <f t="shared" si="2"/>
        <v>0.19266280147447248</v>
      </c>
      <c r="X11" s="8">
        <f t="shared" si="10"/>
        <v>0.14000000000000001</v>
      </c>
      <c r="Y11" s="166">
        <f t="shared" si="3"/>
        <v>1</v>
      </c>
      <c r="Z11" s="8">
        <f t="shared" si="4"/>
        <v>0.27999999999999997</v>
      </c>
      <c r="AA11" s="167">
        <f t="shared" si="5"/>
        <v>1.0976000000000003E-2</v>
      </c>
      <c r="AF11" s="8">
        <f t="shared" si="11"/>
        <v>0.14000000000000001</v>
      </c>
      <c r="AG11" s="166">
        <f t="shared" si="6"/>
        <v>0.91735384128431297</v>
      </c>
      <c r="AH11" s="8">
        <f t="shared" si="7"/>
        <v>0.53916386601719213</v>
      </c>
      <c r="AI11" s="167">
        <f t="shared" si="8"/>
        <v>0.11322441186361036</v>
      </c>
    </row>
    <row r="12" spans="1:35" x14ac:dyDescent="0.25">
      <c r="I12" s="8">
        <f t="shared" si="9"/>
        <v>0.16</v>
      </c>
      <c r="J12" s="166">
        <f t="shared" si="0"/>
        <v>3.3994407923417098</v>
      </c>
      <c r="K12" s="8">
        <f t="shared" si="1"/>
        <v>1.5954708785390421</v>
      </c>
      <c r="L12" s="167">
        <f t="shared" si="2"/>
        <v>0.31858362502667564</v>
      </c>
      <c r="X12" s="8">
        <f t="shared" si="10"/>
        <v>0.16</v>
      </c>
      <c r="Y12" s="166">
        <f t="shared" si="3"/>
        <v>1</v>
      </c>
      <c r="Z12" s="8">
        <f t="shared" si="4"/>
        <v>0.31999999999999995</v>
      </c>
      <c r="AA12" s="167">
        <f t="shared" si="5"/>
        <v>1.6383999999999996E-2</v>
      </c>
      <c r="AF12" s="8">
        <f t="shared" si="11"/>
        <v>0.16</v>
      </c>
      <c r="AG12" s="166">
        <f t="shared" si="6"/>
        <v>0.86826139755357068</v>
      </c>
      <c r="AH12" s="8">
        <f t="shared" si="7"/>
        <v>0.54554472558998102</v>
      </c>
      <c r="AI12" s="167">
        <f t="shared" si="8"/>
        <v>0.13093073414159542</v>
      </c>
    </row>
    <row r="13" spans="1:35" x14ac:dyDescent="0.25">
      <c r="I13" s="8">
        <f t="shared" si="9"/>
        <v>0.18</v>
      </c>
      <c r="J13" s="166">
        <f t="shared" si="0"/>
        <v>3.2307396985571333</v>
      </c>
      <c r="K13" s="8">
        <f t="shared" si="1"/>
        <v>1.919059380942937</v>
      </c>
      <c r="L13" s="167">
        <f t="shared" si="2"/>
        <v>0.48498468675189865</v>
      </c>
      <c r="X13" s="8">
        <f t="shared" si="10"/>
        <v>0.18</v>
      </c>
      <c r="Y13" s="166">
        <f t="shared" si="3"/>
        <v>1</v>
      </c>
      <c r="Z13" s="8">
        <f t="shared" si="4"/>
        <v>0.36</v>
      </c>
      <c r="AA13" s="167">
        <f t="shared" si="5"/>
        <v>2.3327999999999998E-2</v>
      </c>
      <c r="AF13" s="8">
        <f t="shared" si="11"/>
        <v>0.18</v>
      </c>
      <c r="AG13" s="166">
        <f t="shared" si="6"/>
        <v>0.82852753952761038</v>
      </c>
      <c r="AH13" s="8">
        <f t="shared" si="7"/>
        <v>0.55215763037423271</v>
      </c>
      <c r="AI13" s="167">
        <f t="shared" si="8"/>
        <v>0.14908256020104285</v>
      </c>
    </row>
    <row r="14" spans="1:35" x14ac:dyDescent="0.25">
      <c r="I14" s="8">
        <f t="shared" si="9"/>
        <v>0.19999999999999998</v>
      </c>
      <c r="J14" s="166">
        <f t="shared" si="0"/>
        <v>3.0198988800000013</v>
      </c>
      <c r="K14" s="8">
        <f t="shared" si="1"/>
        <v>2.2145925120000003</v>
      </c>
      <c r="L14" s="167">
        <f t="shared" si="2"/>
        <v>0.69095286374399956</v>
      </c>
      <c r="X14" s="8">
        <f t="shared" si="10"/>
        <v>0.19999999999999998</v>
      </c>
      <c r="Y14" s="166">
        <f t="shared" si="3"/>
        <v>1</v>
      </c>
      <c r="Z14" s="8">
        <f t="shared" si="4"/>
        <v>0.39999999999999997</v>
      </c>
      <c r="AA14" s="167">
        <f t="shared" si="5"/>
        <v>3.1999999999999987E-2</v>
      </c>
      <c r="AF14" s="8">
        <f t="shared" si="11"/>
        <v>0.19999999999999998</v>
      </c>
      <c r="AG14" s="166">
        <f t="shared" si="6"/>
        <v>0.79577471545947676</v>
      </c>
      <c r="AH14" s="8">
        <f t="shared" si="7"/>
        <v>0.55901699437494745</v>
      </c>
      <c r="AI14" s="167">
        <f t="shared" si="8"/>
        <v>0.1677050983124842</v>
      </c>
    </row>
    <row r="15" spans="1:35" x14ac:dyDescent="0.25">
      <c r="I15" s="8">
        <f t="shared" si="9"/>
        <v>0.21999999999999997</v>
      </c>
      <c r="J15" s="166">
        <f t="shared" si="0"/>
        <v>2.7823861066180617</v>
      </c>
      <c r="K15" s="8">
        <f t="shared" si="1"/>
        <v>2.468903938605759</v>
      </c>
      <c r="L15" s="167">
        <f t="shared" si="2"/>
        <v>0.93206061490244552</v>
      </c>
      <c r="X15" s="8">
        <f t="shared" si="10"/>
        <v>0.21999999999999997</v>
      </c>
      <c r="Y15" s="166">
        <f t="shared" si="3"/>
        <v>1</v>
      </c>
      <c r="Z15" s="8">
        <f t="shared" si="4"/>
        <v>0.43999999999999989</v>
      </c>
      <c r="AA15" s="167">
        <f t="shared" si="5"/>
        <v>4.259199999999997E-2</v>
      </c>
      <c r="AF15" s="8">
        <f t="shared" si="11"/>
        <v>0.21999999999999997</v>
      </c>
      <c r="AG15" s="166">
        <f t="shared" si="6"/>
        <v>0.76840730613751429</v>
      </c>
      <c r="AH15" s="8">
        <f t="shared" si="7"/>
        <v>0.5661385170722979</v>
      </c>
      <c r="AI15" s="167">
        <f t="shared" si="8"/>
        <v>0.18682571063385825</v>
      </c>
    </row>
    <row r="16" spans="1:35" x14ac:dyDescent="0.25">
      <c r="I16" s="8">
        <f t="shared" si="9"/>
        <v>0.23999999999999996</v>
      </c>
      <c r="J16" s="166">
        <f t="shared" si="0"/>
        <v>2.5306896220028938</v>
      </c>
      <c r="K16" s="8">
        <f t="shared" si="1"/>
        <v>2.6724082408350553</v>
      </c>
      <c r="L16" s="167">
        <f t="shared" si="2"/>
        <v>1.2006595744423727</v>
      </c>
      <c r="X16" s="8">
        <f t="shared" si="10"/>
        <v>0.23999999999999996</v>
      </c>
      <c r="Y16" s="166">
        <f t="shared" si="3"/>
        <v>1</v>
      </c>
      <c r="Z16" s="8">
        <f t="shared" si="4"/>
        <v>0.47999999999999993</v>
      </c>
      <c r="AA16" s="167">
        <f t="shared" si="5"/>
        <v>5.529599999999997E-2</v>
      </c>
      <c r="AF16" s="8">
        <f t="shared" si="11"/>
        <v>0.23999999999999996</v>
      </c>
      <c r="AG16" s="166">
        <f t="shared" si="6"/>
        <v>0.74531130771480558</v>
      </c>
      <c r="AH16" s="8">
        <f t="shared" si="7"/>
        <v>0.57353933467640439</v>
      </c>
      <c r="AI16" s="167">
        <f t="shared" si="8"/>
        <v>0.20647416048350559</v>
      </c>
    </row>
    <row r="17" spans="9:35" x14ac:dyDescent="0.25">
      <c r="I17" s="8">
        <f t="shared" si="9"/>
        <v>0.25999999999999995</v>
      </c>
      <c r="J17" s="166">
        <f t="shared" si="0"/>
        <v>2.2747196671100935</v>
      </c>
      <c r="K17" s="8">
        <f t="shared" si="1"/>
        <v>2.8191359074384419</v>
      </c>
      <c r="L17" s="167">
        <f t="shared" si="2"/>
        <v>1.4864739812741417</v>
      </c>
      <c r="X17" s="8">
        <f t="shared" si="10"/>
        <v>0.25999999999999995</v>
      </c>
      <c r="Y17" s="166">
        <f t="shared" si="3"/>
        <v>1</v>
      </c>
      <c r="Z17" s="8">
        <f t="shared" si="4"/>
        <v>0.51999999999999991</v>
      </c>
      <c r="AA17" s="167">
        <f t="shared" si="5"/>
        <v>7.0303999999999964E-2</v>
      </c>
      <c r="AF17" s="8">
        <f t="shared" si="11"/>
        <v>0.25999999999999995</v>
      </c>
      <c r="AG17" s="166">
        <f t="shared" si="6"/>
        <v>0.72568407630209808</v>
      </c>
      <c r="AH17" s="8">
        <f t="shared" si="7"/>
        <v>0.58123819371909646</v>
      </c>
      <c r="AI17" s="167">
        <f t="shared" si="8"/>
        <v>0.22668289555044754</v>
      </c>
    </row>
    <row r="18" spans="9:35" x14ac:dyDescent="0.25">
      <c r="I18" s="8">
        <f t="shared" si="9"/>
        <v>0.27999999999999997</v>
      </c>
      <c r="J18" s="166">
        <f t="shared" si="0"/>
        <v>2.0221715816644612</v>
      </c>
      <c r="K18" s="8">
        <f t="shared" si="1"/>
        <v>2.9065346200457185</v>
      </c>
      <c r="L18" s="167">
        <f t="shared" si="2"/>
        <v>1.7774040508503568</v>
      </c>
      <c r="X18" s="8">
        <f t="shared" si="10"/>
        <v>0.27999999999999997</v>
      </c>
      <c r="Y18" s="166">
        <f t="shared" si="3"/>
        <v>1</v>
      </c>
      <c r="Z18" s="8">
        <f t="shared" si="4"/>
        <v>0.55999999999999994</v>
      </c>
      <c r="AA18" s="167">
        <f t="shared" si="5"/>
        <v>8.7807999999999969E-2</v>
      </c>
      <c r="AF18" s="8">
        <f t="shared" si="11"/>
        <v>0.27999999999999997</v>
      </c>
      <c r="AG18" s="166">
        <f t="shared" si="6"/>
        <v>0.70893246245401964</v>
      </c>
      <c r="AH18" s="8">
        <f t="shared" si="7"/>
        <v>0.58925565098878963</v>
      </c>
      <c r="AI18" s="167">
        <f t="shared" si="8"/>
        <v>0.24748737341529159</v>
      </c>
    </row>
    <row r="19" spans="9:35" x14ac:dyDescent="0.25">
      <c r="I19" s="8">
        <f t="shared" si="9"/>
        <v>0.3</v>
      </c>
      <c r="J19" s="166">
        <f t="shared" si="0"/>
        <v>1.7788528799999999</v>
      </c>
      <c r="K19" s="8">
        <f t="shared" si="1"/>
        <v>2.9351072520000008</v>
      </c>
      <c r="L19" s="167">
        <f t="shared" si="2"/>
        <v>2.0604452909040001</v>
      </c>
      <c r="X19" s="8">
        <f t="shared" si="10"/>
        <v>0.3</v>
      </c>
      <c r="Y19" s="166">
        <f t="shared" si="3"/>
        <v>1</v>
      </c>
      <c r="Z19" s="8">
        <f t="shared" si="4"/>
        <v>0.59999999999999987</v>
      </c>
      <c r="AA19" s="167">
        <f t="shared" si="5"/>
        <v>0.10799999999999993</v>
      </c>
      <c r="AF19" s="8">
        <f t="shared" si="11"/>
        <v>0.3</v>
      </c>
      <c r="AG19" s="166">
        <f t="shared" si="6"/>
        <v>0.69460911804285663</v>
      </c>
      <c r="AH19" s="8">
        <f t="shared" si="7"/>
        <v>0.59761430466719689</v>
      </c>
      <c r="AI19" s="167">
        <f t="shared" si="8"/>
        <v>0.2689264371002385</v>
      </c>
    </row>
    <row r="20" spans="9:35" x14ac:dyDescent="0.25">
      <c r="I20" s="8">
        <f t="shared" si="9"/>
        <v>0.32</v>
      </c>
      <c r="J20" s="166">
        <f t="shared" si="0"/>
        <v>1.5489766237667324</v>
      </c>
      <c r="K20" s="8">
        <f t="shared" si="1"/>
        <v>2.9079454483514131</v>
      </c>
      <c r="L20" s="167">
        <f t="shared" si="2"/>
        <v>2.3226341885072408</v>
      </c>
      <c r="X20" s="8">
        <f t="shared" si="10"/>
        <v>0.32</v>
      </c>
      <c r="Y20" s="166">
        <f t="shared" si="3"/>
        <v>1</v>
      </c>
      <c r="Z20" s="8">
        <f t="shared" si="4"/>
        <v>0.64</v>
      </c>
      <c r="AA20" s="167">
        <f t="shared" si="5"/>
        <v>0.13107199999999999</v>
      </c>
      <c r="AF20" s="8">
        <f t="shared" si="11"/>
        <v>0.32</v>
      </c>
      <c r="AG20" s="166">
        <f t="shared" si="6"/>
        <v>0.68237118896741411</v>
      </c>
      <c r="AH20" s="8">
        <f t="shared" si="7"/>
        <v>0.60633906259083248</v>
      </c>
      <c r="AI20" s="167">
        <f t="shared" si="8"/>
        <v>0.29104275004359959</v>
      </c>
    </row>
    <row r="21" spans="9:35" x14ac:dyDescent="0.25">
      <c r="I21" s="8">
        <f t="shared" si="9"/>
        <v>0.34</v>
      </c>
      <c r="J21" s="166">
        <f t="shared" si="0"/>
        <v>1.3354233396185085</v>
      </c>
      <c r="K21" s="8">
        <f t="shared" si="1"/>
        <v>2.8302071977648269</v>
      </c>
      <c r="L21" s="167">
        <f t="shared" si="2"/>
        <v>2.5519412260805892</v>
      </c>
      <c r="X21" s="8">
        <f t="shared" si="10"/>
        <v>0.34</v>
      </c>
      <c r="Y21" s="166">
        <f t="shared" si="3"/>
        <v>1</v>
      </c>
      <c r="Z21" s="8">
        <f t="shared" si="4"/>
        <v>0.68000000000000016</v>
      </c>
      <c r="AA21" s="167">
        <f t="shared" si="5"/>
        <v>0.15721600000000008</v>
      </c>
      <c r="AF21" s="8">
        <f t="shared" si="11"/>
        <v>0.34</v>
      </c>
      <c r="AG21" s="166">
        <f t="shared" si="6"/>
        <v>0.67195269641071187</v>
      </c>
      <c r="AH21" s="8">
        <f t="shared" si="7"/>
        <v>0.6154574548966637</v>
      </c>
      <c r="AI21" s="167">
        <f t="shared" si="8"/>
        <v>0.31388330199729858</v>
      </c>
    </row>
    <row r="22" spans="9:35" x14ac:dyDescent="0.25">
      <c r="I22" s="8">
        <f t="shared" si="9"/>
        <v>0.36000000000000004</v>
      </c>
      <c r="J22" s="166">
        <f t="shared" si="0"/>
        <v>1.139973655678157</v>
      </c>
      <c r="K22" s="8">
        <f t="shared" si="1"/>
        <v>2.7085774058913001</v>
      </c>
      <c r="L22" s="167">
        <f t="shared" si="2"/>
        <v>2.7380467280673986</v>
      </c>
      <c r="X22" s="8">
        <f t="shared" si="10"/>
        <v>0.36000000000000004</v>
      </c>
      <c r="Y22" s="166">
        <f t="shared" si="3"/>
        <v>1</v>
      </c>
      <c r="Z22" s="8">
        <f t="shared" si="4"/>
        <v>0.72000000000000008</v>
      </c>
      <c r="AA22" s="167">
        <f t="shared" si="5"/>
        <v>0.18662400000000004</v>
      </c>
      <c r="AF22" s="8">
        <f t="shared" si="11"/>
        <v>0.36000000000000004</v>
      </c>
      <c r="AG22" s="166">
        <f t="shared" si="6"/>
        <v>0.66314559621623059</v>
      </c>
      <c r="AH22" s="8">
        <f t="shared" si="7"/>
        <v>0.625</v>
      </c>
      <c r="AI22" s="167">
        <f t="shared" si="8"/>
        <v>0.33750000000000008</v>
      </c>
    </row>
    <row r="23" spans="9:35" x14ac:dyDescent="0.25">
      <c r="I23" s="8">
        <f t="shared" si="9"/>
        <v>0.38000000000000006</v>
      </c>
      <c r="J23" s="166">
        <f t="shared" si="0"/>
        <v>0.96351375625850844</v>
      </c>
      <c r="K23" s="8">
        <f t="shared" si="1"/>
        <v>2.5507420840683586</v>
      </c>
      <c r="L23" s="167">
        <f t="shared" si="2"/>
        <v>2.8729518241278749</v>
      </c>
      <c r="X23" s="8">
        <f t="shared" si="10"/>
        <v>0.38000000000000006</v>
      </c>
      <c r="Y23" s="166">
        <f t="shared" si="3"/>
        <v>1</v>
      </c>
      <c r="Z23" s="8">
        <f t="shared" si="4"/>
        <v>0.76000000000000012</v>
      </c>
      <c r="AA23" s="167">
        <f t="shared" si="5"/>
        <v>0.21948800000000002</v>
      </c>
      <c r="AF23" s="8">
        <f t="shared" si="11"/>
        <v>0.38000000000000006</v>
      </c>
      <c r="AG23" s="166">
        <f t="shared" si="6"/>
        <v>0.6557865184150099</v>
      </c>
      <c r="AH23" s="8">
        <f t="shared" si="7"/>
        <v>0.63500063500095261</v>
      </c>
      <c r="AI23" s="167">
        <f t="shared" si="8"/>
        <v>0.36195036195054298</v>
      </c>
    </row>
    <row r="24" spans="9:35" x14ac:dyDescent="0.25">
      <c r="I24" s="8">
        <f t="shared" ref="I24:I40" si="12">I23+0.02</f>
        <v>0.40000000000000008</v>
      </c>
      <c r="J24" s="166">
        <f t="shared" si="0"/>
        <v>0.80621567999999921</v>
      </c>
      <c r="K24" s="8">
        <f t="shared" si="1"/>
        <v>2.364899327999999</v>
      </c>
      <c r="L24" s="167">
        <f t="shared" si="2"/>
        <v>2.9513943613440006</v>
      </c>
      <c r="X24" s="8">
        <f t="shared" si="10"/>
        <v>0.40000000000000008</v>
      </c>
      <c r="Y24" s="166">
        <f t="shared" si="3"/>
        <v>1</v>
      </c>
      <c r="Z24" s="8">
        <f t="shared" si="4"/>
        <v>0.80000000000000016</v>
      </c>
      <c r="AA24" s="167">
        <f t="shared" si="5"/>
        <v>0.25600000000000017</v>
      </c>
      <c r="AF24" s="8">
        <f t="shared" si="11"/>
        <v>0.40000000000000008</v>
      </c>
      <c r="AG24" s="166">
        <f t="shared" si="6"/>
        <v>0.64974733436139676</v>
      </c>
      <c r="AH24" s="8">
        <f t="shared" si="7"/>
        <v>0.64549722436790291</v>
      </c>
      <c r="AI24" s="167">
        <f t="shared" si="8"/>
        <v>0.38729833462074181</v>
      </c>
    </row>
    <row r="25" spans="9:35" x14ac:dyDescent="0.25">
      <c r="I25" s="8">
        <f t="shared" si="12"/>
        <v>0.4200000000000001</v>
      </c>
      <c r="J25" s="166">
        <f t="shared" si="0"/>
        <v>0.66769441226772375</v>
      </c>
      <c r="K25" s="8">
        <f t="shared" si="1"/>
        <v>2.159323729273821</v>
      </c>
      <c r="L25" s="167">
        <f t="shared" si="2"/>
        <v>2.9710567055824377</v>
      </c>
      <c r="X25" s="8">
        <f t="shared" si="10"/>
        <v>0.4200000000000001</v>
      </c>
      <c r="Y25" s="166">
        <f t="shared" si="3"/>
        <v>1</v>
      </c>
      <c r="Z25" s="8">
        <f t="shared" si="4"/>
        <v>0.84000000000000019</v>
      </c>
      <c r="AA25" s="167">
        <f t="shared" si="5"/>
        <v>0.29635200000000023</v>
      </c>
      <c r="AF25" s="8">
        <f t="shared" si="11"/>
        <v>0.4200000000000001</v>
      </c>
      <c r="AG25" s="166">
        <f t="shared" si="6"/>
        <v>0.64492837537916003</v>
      </c>
      <c r="AH25" s="8">
        <f t="shared" si="7"/>
        <v>0.65653216429861283</v>
      </c>
      <c r="AI25" s="167">
        <f t="shared" si="8"/>
        <v>0.41361526350812622</v>
      </c>
    </row>
    <row r="26" spans="9:35" x14ac:dyDescent="0.25">
      <c r="I26" s="8">
        <f t="shared" si="12"/>
        <v>0.44000000000000011</v>
      </c>
      <c r="J26" s="166">
        <f t="shared" si="0"/>
        <v>0.54714364833300411</v>
      </c>
      <c r="K26" s="8">
        <f t="shared" si="1"/>
        <v>1.9419951891499443</v>
      </c>
      <c r="L26" s="167">
        <f t="shared" si="2"/>
        <v>2.9325680952315492</v>
      </c>
      <c r="X26" s="8">
        <f t="shared" si="10"/>
        <v>0.44000000000000011</v>
      </c>
      <c r="Y26" s="166">
        <f t="shared" si="3"/>
        <v>1</v>
      </c>
      <c r="Z26" s="8">
        <f t="shared" si="4"/>
        <v>0.88000000000000023</v>
      </c>
      <c r="AA26" s="167">
        <f t="shared" si="5"/>
        <v>0.34073600000000032</v>
      </c>
      <c r="AF26" s="8">
        <f t="shared" si="11"/>
        <v>0.44000000000000011</v>
      </c>
      <c r="AG26" s="166">
        <f t="shared" si="6"/>
        <v>0.64125353990800915</v>
      </c>
      <c r="AH26" s="8">
        <f t="shared" si="7"/>
        <v>0.66815310478106105</v>
      </c>
      <c r="AI26" s="167">
        <f t="shared" si="8"/>
        <v>0.44098104915550046</v>
      </c>
    </row>
    <row r="27" spans="9:35" x14ac:dyDescent="0.25">
      <c r="I27" s="8">
        <f t="shared" si="12"/>
        <v>0.46000000000000013</v>
      </c>
      <c r="J27" s="166">
        <f t="shared" si="0"/>
        <v>0.44345202954669999</v>
      </c>
      <c r="K27" s="8">
        <f t="shared" si="1"/>
        <v>1.7202982399548332</v>
      </c>
      <c r="L27" s="167">
        <f t="shared" si="2"/>
        <v>2.8393178390806555</v>
      </c>
      <c r="X27" s="8">
        <f t="shared" si="10"/>
        <v>0.46000000000000013</v>
      </c>
      <c r="Y27" s="166">
        <f t="shared" si="3"/>
        <v>1</v>
      </c>
      <c r="Z27" s="8">
        <f t="shared" si="4"/>
        <v>0.92000000000000026</v>
      </c>
      <c r="AA27" s="167">
        <f t="shared" si="5"/>
        <v>0.38934400000000025</v>
      </c>
      <c r="AF27" s="8">
        <f t="shared" si="11"/>
        <v>0.46000000000000013</v>
      </c>
      <c r="AG27" s="166">
        <f t="shared" si="6"/>
        <v>0.63866678656449571</v>
      </c>
      <c r="AH27" s="8">
        <f t="shared" si="7"/>
        <v>0.68041381743977181</v>
      </c>
      <c r="AI27" s="167">
        <f t="shared" si="8"/>
        <v>0.46948553403344268</v>
      </c>
    </row>
    <row r="28" spans="9:35" x14ac:dyDescent="0.25">
      <c r="I28" s="8">
        <f t="shared" si="12"/>
        <v>0.48000000000000015</v>
      </c>
      <c r="J28" s="166">
        <f t="shared" si="0"/>
        <v>0.35530158039367638</v>
      </c>
      <c r="K28" s="8">
        <f t="shared" si="1"/>
        <v>1.5007938755828891</v>
      </c>
      <c r="L28" s="167">
        <f t="shared" si="2"/>
        <v>2.6971066896875238</v>
      </c>
      <c r="X28" s="8">
        <f t="shared" si="10"/>
        <v>0.48000000000000015</v>
      </c>
      <c r="Y28" s="166">
        <f t="shared" si="3"/>
        <v>1</v>
      </c>
      <c r="Z28" s="8">
        <f t="shared" si="4"/>
        <v>0.9600000000000003</v>
      </c>
      <c r="AA28" s="167">
        <f t="shared" si="5"/>
        <v>0.44236800000000048</v>
      </c>
      <c r="AF28" s="8">
        <f t="shared" si="11"/>
        <v>0.48000000000000015</v>
      </c>
      <c r="AG28" s="166">
        <f t="shared" si="6"/>
        <v>0.63712968015647264</v>
      </c>
      <c r="AH28" s="8">
        <f t="shared" si="7"/>
        <v>0.6933752452815366</v>
      </c>
      <c r="AI28" s="167">
        <f t="shared" si="8"/>
        <v>0.49923017660270647</v>
      </c>
    </row>
    <row r="29" spans="9:35" x14ac:dyDescent="0.25">
      <c r="I29" s="8">
        <f t="shared" si="12"/>
        <v>0.50000000000000011</v>
      </c>
      <c r="J29" s="166">
        <f t="shared" si="0"/>
        <v>0.2812499999999995</v>
      </c>
      <c r="K29" s="8">
        <f t="shared" si="1"/>
        <v>1.2890624999999998</v>
      </c>
      <c r="L29" s="167">
        <f t="shared" si="2"/>
        <v>2.5136718749999987</v>
      </c>
      <c r="X29" s="8">
        <f t="shared" si="10"/>
        <v>0.50000000000000011</v>
      </c>
      <c r="Y29" s="166">
        <f t="shared" si="3"/>
        <v>1</v>
      </c>
      <c r="Z29" s="8">
        <f t="shared" si="4"/>
        <v>1.0000000000000002</v>
      </c>
      <c r="AA29" s="167">
        <f t="shared" si="5"/>
        <v>0.50000000000000033</v>
      </c>
      <c r="AF29" s="8">
        <f t="shared" si="11"/>
        <v>0.50000000000000011</v>
      </c>
      <c r="AG29" s="166">
        <f t="shared" si="6"/>
        <v>0.63661977236758138</v>
      </c>
      <c r="AH29" s="8">
        <f t="shared" si="7"/>
        <v>0.70710678118654757</v>
      </c>
      <c r="AI29" s="167">
        <f t="shared" si="8"/>
        <v>0.53033008588991082</v>
      </c>
    </row>
    <row r="30" spans="9:35" x14ac:dyDescent="0.25">
      <c r="I30" s="8">
        <f t="shared" si="12"/>
        <v>0.52000000000000013</v>
      </c>
      <c r="J30" s="166">
        <f t="shared" si="0"/>
        <v>0.21979838734663637</v>
      </c>
      <c r="K30" s="8">
        <f t="shared" si="1"/>
        <v>1.0896138722063931</v>
      </c>
      <c r="L30" s="167">
        <f t="shared" si="2"/>
        <v>2.2981264101479488</v>
      </c>
      <c r="X30" s="8">
        <f t="shared" si="10"/>
        <v>0.52000000000000013</v>
      </c>
      <c r="Y30" s="166">
        <f t="shared" si="3"/>
        <v>1</v>
      </c>
      <c r="Z30" s="8">
        <f t="shared" si="4"/>
        <v>1.0400000000000003</v>
      </c>
      <c r="AA30" s="167">
        <f t="shared" si="5"/>
        <v>0.56243200000000049</v>
      </c>
      <c r="AF30" s="8">
        <f t="shared" si="11"/>
        <v>0.52000000000000013</v>
      </c>
      <c r="AG30" s="166">
        <f t="shared" si="6"/>
        <v>0.63712968015647264</v>
      </c>
      <c r="AH30" s="8">
        <f t="shared" si="7"/>
        <v>0.72168783648703227</v>
      </c>
      <c r="AI30" s="167">
        <f t="shared" si="8"/>
        <v>0.56291651245988539</v>
      </c>
    </row>
    <row r="31" spans="9:35" x14ac:dyDescent="0.25">
      <c r="I31" s="8">
        <f t="shared" si="12"/>
        <v>0.54000000000000015</v>
      </c>
      <c r="J31" s="166">
        <f t="shared" si="0"/>
        <v>0.16944590512558044</v>
      </c>
      <c r="K31" s="8">
        <f t="shared" si="1"/>
        <v>0.90585780880135458</v>
      </c>
      <c r="L31" s="167">
        <f t="shared" si="2"/>
        <v>2.0603554689625039</v>
      </c>
      <c r="X31" s="8">
        <f t="shared" si="10"/>
        <v>0.54000000000000015</v>
      </c>
      <c r="Y31" s="166">
        <f t="shared" si="3"/>
        <v>1</v>
      </c>
      <c r="Z31" s="8">
        <f t="shared" si="4"/>
        <v>1.0800000000000003</v>
      </c>
      <c r="AA31" s="167">
        <f t="shared" si="5"/>
        <v>0.62985600000000053</v>
      </c>
      <c r="AF31" s="8">
        <f t="shared" si="11"/>
        <v>0.54000000000000015</v>
      </c>
      <c r="AG31" s="166">
        <f t="shared" si="6"/>
        <v>0.63866678656449571</v>
      </c>
      <c r="AH31" s="8">
        <f t="shared" si="7"/>
        <v>0.73720978077448585</v>
      </c>
      <c r="AI31" s="167">
        <f t="shared" si="8"/>
        <v>0.59713992242733371</v>
      </c>
    </row>
    <row r="32" spans="9:35" x14ac:dyDescent="0.25">
      <c r="I32" s="8">
        <f t="shared" si="12"/>
        <v>0.56000000000000016</v>
      </c>
      <c r="J32" s="166">
        <f t="shared" si="0"/>
        <v>0.12873281285652452</v>
      </c>
      <c r="K32" s="8">
        <f t="shared" si="1"/>
        <v>0.74012785204977882</v>
      </c>
      <c r="L32" s="167">
        <f t="shared" si="2"/>
        <v>1.8104119363419231</v>
      </c>
      <c r="X32" s="8">
        <f t="shared" si="10"/>
        <v>0.56000000000000016</v>
      </c>
      <c r="Y32" s="166">
        <f t="shared" si="3"/>
        <v>1</v>
      </c>
      <c r="Z32" s="8">
        <f t="shared" si="4"/>
        <v>1.1200000000000003</v>
      </c>
      <c r="AA32" s="167">
        <f t="shared" si="5"/>
        <v>0.70246400000000053</v>
      </c>
      <c r="AF32" s="8">
        <f t="shared" si="11"/>
        <v>0.56000000000000016</v>
      </c>
      <c r="AG32" s="166">
        <f t="shared" si="6"/>
        <v>0.64125353990800915</v>
      </c>
      <c r="AH32" s="8">
        <f t="shared" si="7"/>
        <v>0.75377836144440924</v>
      </c>
      <c r="AI32" s="167">
        <f t="shared" si="8"/>
        <v>0.63317382361330399</v>
      </c>
    </row>
    <row r="33" spans="9:35" x14ac:dyDescent="0.25">
      <c r="I33" s="8">
        <f t="shared" si="12"/>
        <v>0.58000000000000018</v>
      </c>
      <c r="J33" s="166">
        <f t="shared" si="0"/>
        <v>9.6273225564364545E-2</v>
      </c>
      <c r="K33" s="8">
        <f t="shared" si="1"/>
        <v>0.59374907313062453</v>
      </c>
      <c r="L33" s="167">
        <f t="shared" si="2"/>
        <v>1.5579500679689087</v>
      </c>
      <c r="X33" s="8">
        <f t="shared" si="10"/>
        <v>0.58000000000000018</v>
      </c>
      <c r="Y33" s="166">
        <f t="shared" si="3"/>
        <v>1</v>
      </c>
      <c r="Z33" s="8">
        <f t="shared" si="4"/>
        <v>1.1600000000000004</v>
      </c>
      <c r="AA33" s="167">
        <f t="shared" si="5"/>
        <v>0.78044800000000081</v>
      </c>
      <c r="AF33" s="8">
        <f t="shared" si="11"/>
        <v>0.58000000000000018</v>
      </c>
      <c r="AG33" s="166">
        <f t="shared" si="6"/>
        <v>0.64492837537916003</v>
      </c>
      <c r="AH33" s="8">
        <f t="shared" si="7"/>
        <v>0.7715167498104597</v>
      </c>
      <c r="AI33" s="167">
        <f t="shared" si="8"/>
        <v>0.67121957233510021</v>
      </c>
    </row>
    <row r="34" spans="9:35" x14ac:dyDescent="0.25">
      <c r="I34" s="8">
        <f t="shared" si="12"/>
        <v>0.6000000000000002</v>
      </c>
      <c r="J34" s="166">
        <f t="shared" si="0"/>
        <v>7.0778879999999905E-2</v>
      </c>
      <c r="K34" s="8">
        <f t="shared" si="1"/>
        <v>0.46714060799999885</v>
      </c>
      <c r="L34" s="167">
        <f t="shared" si="2"/>
        <v>1.3117308272639974</v>
      </c>
      <c r="X34" s="8">
        <f t="shared" si="10"/>
        <v>0.6000000000000002</v>
      </c>
      <c r="Y34" s="166">
        <f t="shared" si="3"/>
        <v>1</v>
      </c>
      <c r="Z34" s="8">
        <f t="shared" si="4"/>
        <v>1.2000000000000004</v>
      </c>
      <c r="AA34" s="167">
        <f t="shared" si="5"/>
        <v>0.86400000000000077</v>
      </c>
      <c r="AF34" s="8">
        <f t="shared" si="11"/>
        <v>0.6000000000000002</v>
      </c>
      <c r="AG34" s="166">
        <f t="shared" si="6"/>
        <v>0.64974733436139687</v>
      </c>
      <c r="AH34" s="8">
        <f t="shared" si="7"/>
        <v>0.79056941504209499</v>
      </c>
      <c r="AI34" s="167">
        <f t="shared" si="8"/>
        <v>0.71151247353788571</v>
      </c>
    </row>
    <row r="35" spans="9:35" x14ac:dyDescent="0.25">
      <c r="I35" s="8">
        <f t="shared" si="12"/>
        <v>0.62000000000000022</v>
      </c>
      <c r="J35" s="166">
        <f t="shared" si="0"/>
        <v>5.1075116069068623E-2</v>
      </c>
      <c r="K35" s="8">
        <f t="shared" si="1"/>
        <v>0.35994336797741672</v>
      </c>
      <c r="L35" s="167">
        <f t="shared" si="2"/>
        <v>1.0792253990740479</v>
      </c>
      <c r="X35" s="8">
        <f t="shared" si="10"/>
        <v>0.62000000000000022</v>
      </c>
      <c r="Y35" s="166">
        <f t="shared" si="3"/>
        <v>1</v>
      </c>
      <c r="Z35" s="8">
        <f t="shared" si="4"/>
        <v>1.2400000000000004</v>
      </c>
      <c r="AA35" s="167">
        <f t="shared" si="5"/>
        <v>0.95331200000000094</v>
      </c>
      <c r="AF35" s="8">
        <f t="shared" si="11"/>
        <v>0.62000000000000022</v>
      </c>
      <c r="AG35" s="166">
        <f t="shared" si="6"/>
        <v>0.65578651841501001</v>
      </c>
      <c r="AH35" s="8">
        <f t="shared" si="7"/>
        <v>0.81110710565381294</v>
      </c>
      <c r="AI35" s="167">
        <f t="shared" si="8"/>
        <v>0.75432960825804629</v>
      </c>
    </row>
    <row r="36" spans="9:35" x14ac:dyDescent="0.25">
      <c r="I36" s="8">
        <f t="shared" si="12"/>
        <v>0.64000000000000024</v>
      </c>
      <c r="J36" s="166">
        <f t="shared" si="0"/>
        <v>3.6110206815436661E-2</v>
      </c>
      <c r="K36" s="8">
        <f t="shared" si="1"/>
        <v>0.27116357971271926</v>
      </c>
      <c r="L36" s="167">
        <f t="shared" si="2"/>
        <v>0.86633509755257232</v>
      </c>
      <c r="X36" s="8">
        <f t="shared" si="10"/>
        <v>0.64000000000000024</v>
      </c>
      <c r="Y36" s="166">
        <f t="shared" si="3"/>
        <v>1</v>
      </c>
      <c r="Z36" s="8">
        <f t="shared" si="4"/>
        <v>1.2800000000000005</v>
      </c>
      <c r="AA36" s="167">
        <f t="shared" si="5"/>
        <v>1.0485760000000013</v>
      </c>
      <c r="AF36" s="8">
        <f t="shared" si="11"/>
        <v>0.64000000000000024</v>
      </c>
      <c r="AG36" s="166">
        <f t="shared" si="6"/>
        <v>0.6631455962162307</v>
      </c>
      <c r="AH36" s="8">
        <f t="shared" si="7"/>
        <v>0.8333333333333337</v>
      </c>
      <c r="AI36" s="167">
        <f t="shared" si="8"/>
        <v>0.8000000000000006</v>
      </c>
    </row>
    <row r="37" spans="9:35" x14ac:dyDescent="0.25">
      <c r="I37" s="8">
        <f t="shared" si="12"/>
        <v>0.66000000000000025</v>
      </c>
      <c r="J37" s="166">
        <f t="shared" si="0"/>
        <v>2.4959095988428687E-2</v>
      </c>
      <c r="K37" s="8">
        <f t="shared" si="1"/>
        <v>0.19932334056359172</v>
      </c>
      <c r="L37" s="167">
        <f t="shared" si="2"/>
        <v>0.67723692776610411</v>
      </c>
      <c r="X37" s="8">
        <f t="shared" si="10"/>
        <v>0.66000000000000025</v>
      </c>
      <c r="Y37" s="166">
        <f t="shared" si="3"/>
        <v>1</v>
      </c>
      <c r="Z37" s="8">
        <f t="shared" si="4"/>
        <v>1.3200000000000005</v>
      </c>
      <c r="AA37" s="167">
        <f t="shared" si="5"/>
        <v>1.1499840000000012</v>
      </c>
      <c r="AF37" s="8">
        <f t="shared" si="11"/>
        <v>0.66000000000000025</v>
      </c>
      <c r="AG37" s="166">
        <f t="shared" si="6"/>
        <v>0.67195269641071209</v>
      </c>
      <c r="AH37" s="8">
        <f t="shared" si="7"/>
        <v>0.85749292571254454</v>
      </c>
      <c r="AI37" s="167">
        <f t="shared" si="8"/>
        <v>0.84891799645541943</v>
      </c>
    </row>
    <row r="38" spans="9:35" x14ac:dyDescent="0.25">
      <c r="I38" s="8">
        <f t="shared" si="12"/>
        <v>0.68000000000000027</v>
      </c>
      <c r="J38" s="166">
        <f t="shared" si="0"/>
        <v>1.6822527904972719E-2</v>
      </c>
      <c r="K38" s="8">
        <f t="shared" si="1"/>
        <v>0.14261017655975544</v>
      </c>
      <c r="L38" s="167">
        <f t="shared" si="2"/>
        <v>0.51435497600160118</v>
      </c>
      <c r="X38" s="8">
        <f t="shared" si="10"/>
        <v>0.68000000000000027</v>
      </c>
      <c r="Y38" s="166">
        <f t="shared" si="3"/>
        <v>1</v>
      </c>
      <c r="Z38" s="8">
        <f t="shared" si="4"/>
        <v>1.3600000000000005</v>
      </c>
      <c r="AA38" s="167">
        <f t="shared" si="5"/>
        <v>1.2577280000000015</v>
      </c>
      <c r="AF38" s="8">
        <f t="shared" si="11"/>
        <v>0.68000000000000027</v>
      </c>
      <c r="AG38" s="166">
        <f t="shared" si="6"/>
        <v>0.68237118896741422</v>
      </c>
      <c r="AH38" s="8">
        <f t="shared" si="7"/>
        <v>0.88388347648318477</v>
      </c>
      <c r="AI38" s="167">
        <f t="shared" si="8"/>
        <v>0.90156114601284887</v>
      </c>
    </row>
    <row r="39" spans="9:35" x14ac:dyDescent="0.25">
      <c r="I39" s="8">
        <f t="shared" si="12"/>
        <v>0.70000000000000029</v>
      </c>
      <c r="J39" s="166">
        <f t="shared" si="0"/>
        <v>1.1022479999999927E-2</v>
      </c>
      <c r="K39" s="8">
        <f t="shared" si="1"/>
        <v>9.9018611999999548E-2</v>
      </c>
      <c r="L39" s="167">
        <f t="shared" si="2"/>
        <v>0.37844913506399808</v>
      </c>
      <c r="X39" s="8">
        <f t="shared" si="10"/>
        <v>0.70000000000000029</v>
      </c>
      <c r="Y39" s="166">
        <f t="shared" si="3"/>
        <v>1</v>
      </c>
      <c r="Z39" s="8">
        <f t="shared" si="4"/>
        <v>1.4000000000000006</v>
      </c>
      <c r="AA39" s="167">
        <f t="shared" si="5"/>
        <v>1.3720000000000019</v>
      </c>
      <c r="AF39" s="8">
        <f t="shared" si="11"/>
        <v>0.70000000000000029</v>
      </c>
      <c r="AG39" s="166">
        <f t="shared" si="6"/>
        <v>0.69460911804285685</v>
      </c>
      <c r="AH39" s="8">
        <f t="shared" si="7"/>
        <v>0.91287092917527735</v>
      </c>
      <c r="AI39" s="167">
        <f t="shared" si="8"/>
        <v>0.95851447563404157</v>
      </c>
    </row>
    <row r="40" spans="9:35" x14ac:dyDescent="0.25">
      <c r="I40" s="8">
        <f t="shared" si="12"/>
        <v>0.72000000000000031</v>
      </c>
      <c r="J40" s="166">
        <f t="shared" si="0"/>
        <v>6.9947341406207467E-3</v>
      </c>
      <c r="K40" s="8">
        <f t="shared" si="1"/>
        <v>6.6477953272459672E-2</v>
      </c>
      <c r="L40" s="167">
        <f t="shared" si="2"/>
        <v>0.2688049336162564</v>
      </c>
      <c r="X40" s="8">
        <f t="shared" si="10"/>
        <v>0.72000000000000031</v>
      </c>
      <c r="Y40" s="166">
        <f t="shared" si="3"/>
        <v>1</v>
      </c>
      <c r="Z40" s="8">
        <f t="shared" si="4"/>
        <v>1.4400000000000006</v>
      </c>
      <c r="AA40" s="167">
        <f t="shared" si="5"/>
        <v>1.4929920000000017</v>
      </c>
      <c r="AF40" s="8">
        <f t="shared" si="11"/>
        <v>0.72000000000000031</v>
      </c>
      <c r="AG40" s="166">
        <f t="shared" si="6"/>
        <v>0.70893246245401975</v>
      </c>
      <c r="AH40" s="8">
        <f t="shared" si="7"/>
        <v>0.9449111825230686</v>
      </c>
      <c r="AI40" s="167">
        <f t="shared" si="8"/>
        <v>1.0205040771249145</v>
      </c>
    </row>
    <row r="41" spans="9:35" x14ac:dyDescent="0.25">
      <c r="I41" s="8">
        <f t="shared" ref="I41:I47" si="13">I40+0.02</f>
        <v>0.74000000000000032</v>
      </c>
      <c r="J41" s="166">
        <f t="shared" si="0"/>
        <v>4.2793484617727681E-3</v>
      </c>
      <c r="K41" s="8">
        <f t="shared" si="1"/>
        <v>4.29618056572241E-2</v>
      </c>
      <c r="L41" s="167">
        <f t="shared" si="2"/>
        <v>0.18350190126758836</v>
      </c>
      <c r="X41" s="8">
        <f t="shared" si="10"/>
        <v>0.74000000000000032</v>
      </c>
      <c r="Y41" s="166">
        <f t="shared" si="3"/>
        <v>1</v>
      </c>
      <c r="Z41" s="8">
        <f t="shared" si="4"/>
        <v>1.4800000000000006</v>
      </c>
      <c r="AA41" s="167">
        <f t="shared" si="5"/>
        <v>1.6208960000000021</v>
      </c>
      <c r="AF41" s="8">
        <f t="shared" si="11"/>
        <v>0.74000000000000032</v>
      </c>
      <c r="AG41" s="166">
        <f t="shared" si="6"/>
        <v>0.7256840763020983</v>
      </c>
      <c r="AH41" s="8">
        <f t="shared" si="7"/>
        <v>0.98058067569092078</v>
      </c>
      <c r="AI41" s="167">
        <f t="shared" si="8"/>
        <v>1.0884445500169226</v>
      </c>
    </row>
    <row r="42" spans="9:35" x14ac:dyDescent="0.25">
      <c r="I42" s="8">
        <f t="shared" si="13"/>
        <v>0.76000000000000034</v>
      </c>
      <c r="J42" s="166">
        <f t="shared" si="0"/>
        <v>2.5097171632127786E-3</v>
      </c>
      <c r="K42" s="8">
        <f t="shared" si="1"/>
        <v>2.6576231613647888E-2</v>
      </c>
      <c r="L42" s="167">
        <f t="shared" si="2"/>
        <v>0.11973336476433558</v>
      </c>
      <c r="X42" s="8">
        <f t="shared" si="10"/>
        <v>0.76000000000000034</v>
      </c>
      <c r="Y42" s="166">
        <f t="shared" si="3"/>
        <v>1</v>
      </c>
      <c r="Z42" s="8">
        <f t="shared" si="4"/>
        <v>1.5200000000000007</v>
      </c>
      <c r="AA42" s="167">
        <f t="shared" si="5"/>
        <v>1.7559040000000021</v>
      </c>
      <c r="AF42" s="8">
        <f t="shared" si="11"/>
        <v>0.76000000000000034</v>
      </c>
      <c r="AG42" s="166">
        <f t="shared" si="6"/>
        <v>0.74531130771480592</v>
      </c>
      <c r="AH42" s="8">
        <f t="shared" si="7"/>
        <v>1.0206207261596583</v>
      </c>
      <c r="AI42" s="167">
        <f t="shared" si="8"/>
        <v>1.1635076278220109</v>
      </c>
    </row>
    <row r="43" spans="9:35" x14ac:dyDescent="0.25">
      <c r="I43" s="8">
        <f t="shared" si="13"/>
        <v>0.78000000000000036</v>
      </c>
      <c r="J43" s="166">
        <f t="shared" si="0"/>
        <v>1.4008313899007857E-3</v>
      </c>
      <c r="K43" s="8">
        <f t="shared" si="1"/>
        <v>1.5624873322953373E-2</v>
      </c>
      <c r="L43" s="167">
        <f t="shared" si="2"/>
        <v>7.4148148851541695E-2</v>
      </c>
      <c r="X43" s="8">
        <f t="shared" si="10"/>
        <v>0.78000000000000036</v>
      </c>
      <c r="Y43" s="166">
        <f t="shared" si="3"/>
        <v>1</v>
      </c>
      <c r="Z43" s="8">
        <f t="shared" si="4"/>
        <v>1.5600000000000007</v>
      </c>
      <c r="AA43" s="167">
        <f t="shared" si="5"/>
        <v>1.8982080000000028</v>
      </c>
      <c r="AF43" s="8">
        <f t="shared" si="11"/>
        <v>0.78000000000000036</v>
      </c>
      <c r="AG43" s="166">
        <f t="shared" si="6"/>
        <v>0.76840730613751462</v>
      </c>
      <c r="AH43" s="8">
        <f t="shared" si="7"/>
        <v>1.0660035817780531</v>
      </c>
      <c r="AI43" s="167">
        <f t="shared" si="8"/>
        <v>1.2472241906803225</v>
      </c>
    </row>
    <row r="44" spans="9:35" x14ac:dyDescent="0.25">
      <c r="I44" s="8">
        <f t="shared" si="13"/>
        <v>0.80000000000000038</v>
      </c>
      <c r="J44" s="166">
        <f t="shared" si="0"/>
        <v>7.3727999999999262E-4</v>
      </c>
      <c r="K44" s="8">
        <f t="shared" si="1"/>
        <v>8.6507519999998971E-3</v>
      </c>
      <c r="L44" s="167">
        <f t="shared" si="2"/>
        <v>4.31845539839995E-2</v>
      </c>
      <c r="X44" s="8">
        <f t="shared" si="10"/>
        <v>0.80000000000000038</v>
      </c>
      <c r="Y44" s="166">
        <f t="shared" si="3"/>
        <v>1</v>
      </c>
      <c r="Z44" s="8">
        <f t="shared" si="4"/>
        <v>1.6000000000000008</v>
      </c>
      <c r="AA44" s="167">
        <f t="shared" si="5"/>
        <v>2.0480000000000027</v>
      </c>
      <c r="AF44" s="8">
        <f t="shared" si="11"/>
        <v>0.80000000000000038</v>
      </c>
      <c r="AG44" s="166">
        <f t="shared" si="6"/>
        <v>0.7957747154594772</v>
      </c>
      <c r="AH44" s="8">
        <f t="shared" si="7"/>
        <v>1.118033988749896</v>
      </c>
      <c r="AI44" s="167">
        <f t="shared" si="8"/>
        <v>1.3416407864998758</v>
      </c>
    </row>
    <row r="45" spans="9:35" x14ac:dyDescent="0.25">
      <c r="I45" s="8">
        <f t="shared" si="13"/>
        <v>0.8200000000000004</v>
      </c>
      <c r="J45" s="166">
        <f t="shared" si="0"/>
        <v>3.614547068927951E-4</v>
      </c>
      <c r="K45" s="8">
        <f t="shared" si="1"/>
        <v>4.4557726567697837E-3</v>
      </c>
      <c r="L45" s="167">
        <f t="shared" si="2"/>
        <v>2.3369279968413637E-2</v>
      </c>
      <c r="X45" s="8">
        <f t="shared" si="10"/>
        <v>0.8200000000000004</v>
      </c>
      <c r="Y45" s="166">
        <f t="shared" si="3"/>
        <v>1</v>
      </c>
      <c r="Z45" s="8">
        <f t="shared" si="4"/>
        <v>1.6400000000000008</v>
      </c>
      <c r="AA45" s="167">
        <f t="shared" si="5"/>
        <v>2.2054720000000034</v>
      </c>
      <c r="AF45" s="8">
        <f t="shared" si="11"/>
        <v>0.8200000000000004</v>
      </c>
      <c r="AG45" s="166">
        <f t="shared" si="6"/>
        <v>0.82852753952761105</v>
      </c>
      <c r="AH45" s="8">
        <f t="shared" si="7"/>
        <v>1.1785113019775806</v>
      </c>
      <c r="AI45" s="167">
        <f t="shared" si="8"/>
        <v>1.4495689014324247</v>
      </c>
    </row>
    <row r="46" spans="9:35" x14ac:dyDescent="0.25">
      <c r="I46" s="8">
        <f t="shared" si="13"/>
        <v>0.84000000000000041</v>
      </c>
      <c r="J46" s="166">
        <f t="shared" si="0"/>
        <v>1.6234976378879716E-4</v>
      </c>
      <c r="K46" s="8">
        <f t="shared" si="1"/>
        <v>2.1001565443718806E-3</v>
      </c>
      <c r="L46" s="167">
        <f t="shared" si="2"/>
        <v>1.1558589570128647E-2</v>
      </c>
      <c r="X46" s="8">
        <f t="shared" si="10"/>
        <v>0.84000000000000041</v>
      </c>
      <c r="Y46" s="166">
        <f t="shared" si="3"/>
        <v>1</v>
      </c>
      <c r="Z46" s="8">
        <f t="shared" si="4"/>
        <v>1.6800000000000008</v>
      </c>
      <c r="AA46" s="167">
        <f t="shared" si="5"/>
        <v>2.3708160000000036</v>
      </c>
      <c r="AF46" s="8">
        <f t="shared" si="11"/>
        <v>0.84000000000000041</v>
      </c>
      <c r="AG46" s="166">
        <f t="shared" si="6"/>
        <v>0.86826139755357168</v>
      </c>
      <c r="AH46" s="8">
        <f t="shared" si="7"/>
        <v>1.2500000000000016</v>
      </c>
      <c r="AI46" s="167">
        <f t="shared" si="8"/>
        <v>1.5750000000000028</v>
      </c>
    </row>
    <row r="47" spans="9:35" x14ac:dyDescent="0.25">
      <c r="I47" s="8">
        <f t="shared" si="13"/>
        <v>0.86000000000000043</v>
      </c>
      <c r="J47" s="166">
        <f t="shared" si="0"/>
        <v>6.5272041676798685E-5</v>
      </c>
      <c r="K47" s="8">
        <f t="shared" si="1"/>
        <v>8.850453704429389E-4</v>
      </c>
      <c r="L47" s="167">
        <f t="shared" si="2"/>
        <v>5.1057205366408709E-3</v>
      </c>
      <c r="X47" s="8">
        <f t="shared" si="10"/>
        <v>0.86000000000000043</v>
      </c>
      <c r="Y47" s="166">
        <f t="shared" si="3"/>
        <v>1</v>
      </c>
      <c r="Z47" s="8">
        <f t="shared" si="4"/>
        <v>1.7200000000000009</v>
      </c>
      <c r="AA47" s="167">
        <f t="shared" si="5"/>
        <v>2.5442240000000038</v>
      </c>
      <c r="AF47" s="8">
        <f t="shared" si="11"/>
        <v>0.86000000000000043</v>
      </c>
      <c r="AG47" s="166">
        <f t="shared" si="6"/>
        <v>0.91735384128431419</v>
      </c>
      <c r="AH47" s="8">
        <f t="shared" si="7"/>
        <v>1.3363062095621241</v>
      </c>
      <c r="AI47" s="167">
        <f t="shared" si="8"/>
        <v>1.7238350103351407</v>
      </c>
    </row>
    <row r="48" spans="9:35" x14ac:dyDescent="0.25">
      <c r="I48" s="8">
        <f t="shared" ref="I48:I53" si="14">I47+0.02</f>
        <v>0.88000000000000045</v>
      </c>
      <c r="J48" s="166">
        <f t="shared" si="0"/>
        <v>2.270303354879946E-5</v>
      </c>
      <c r="K48" s="8">
        <f t="shared" si="1"/>
        <v>3.2232253497015546E-4</v>
      </c>
      <c r="L48" s="167">
        <f t="shared" si="2"/>
        <v>1.9469312544309273E-3</v>
      </c>
      <c r="X48" s="8">
        <f t="shared" si="10"/>
        <v>0.88000000000000045</v>
      </c>
      <c r="Y48" s="166">
        <f t="shared" si="3"/>
        <v>1</v>
      </c>
      <c r="Z48" s="8">
        <f t="shared" si="4"/>
        <v>1.7600000000000009</v>
      </c>
      <c r="AA48" s="167">
        <f t="shared" si="5"/>
        <v>2.7258880000000039</v>
      </c>
      <c r="AF48" s="8">
        <f t="shared" si="11"/>
        <v>0.88000000000000045</v>
      </c>
      <c r="AG48" s="166">
        <f t="shared" si="6"/>
        <v>0.97953096209561419</v>
      </c>
      <c r="AH48" s="8">
        <f t="shared" si="7"/>
        <v>1.4433756729740672</v>
      </c>
      <c r="AI48" s="167">
        <f t="shared" si="8"/>
        <v>1.9052558883257698</v>
      </c>
    </row>
    <row r="49" spans="9:35" x14ac:dyDescent="0.25">
      <c r="I49" s="8">
        <f t="shared" si="14"/>
        <v>0.90000000000000047</v>
      </c>
      <c r="J49" s="166">
        <f t="shared" si="0"/>
        <v>6.4799999999997965E-6</v>
      </c>
      <c r="K49" s="8">
        <f t="shared" si="1"/>
        <v>9.6227999999997019E-5</v>
      </c>
      <c r="L49" s="167">
        <f t="shared" si="2"/>
        <v>6.0796850399998223E-4</v>
      </c>
      <c r="X49" s="8">
        <f t="shared" si="10"/>
        <v>0.90000000000000047</v>
      </c>
      <c r="Y49" s="166">
        <f t="shared" si="3"/>
        <v>1</v>
      </c>
      <c r="Z49" s="8">
        <f t="shared" si="4"/>
        <v>1.8000000000000009</v>
      </c>
      <c r="AA49" s="167">
        <f t="shared" si="5"/>
        <v>2.9160000000000039</v>
      </c>
      <c r="AF49" s="8">
        <f t="shared" si="11"/>
        <v>0.90000000000000047</v>
      </c>
      <c r="AG49" s="166">
        <f t="shared" si="6"/>
        <v>1.0610329539459711</v>
      </c>
      <c r="AH49" s="8">
        <f t="shared" si="7"/>
        <v>1.5811388300841933</v>
      </c>
      <c r="AI49" s="167">
        <f t="shared" si="8"/>
        <v>2.134537420613662</v>
      </c>
    </row>
    <row r="50" spans="9:35" x14ac:dyDescent="0.25">
      <c r="I50" s="8">
        <f t="shared" si="14"/>
        <v>0.92000000000000048</v>
      </c>
      <c r="J50" s="166">
        <f t="shared" si="0"/>
        <v>1.389153484799946E-6</v>
      </c>
      <c r="K50" s="8">
        <f t="shared" si="1"/>
        <v>2.1555957674802381E-5</v>
      </c>
      <c r="L50" s="167">
        <f t="shared" si="2"/>
        <v>1.4231070809243114E-4</v>
      </c>
      <c r="X50" s="8">
        <f t="shared" si="10"/>
        <v>0.92000000000000048</v>
      </c>
      <c r="Y50" s="166">
        <f t="shared" si="3"/>
        <v>1</v>
      </c>
      <c r="Z50" s="8">
        <f t="shared" si="4"/>
        <v>1.840000000000001</v>
      </c>
      <c r="AA50" s="167">
        <f t="shared" si="5"/>
        <v>3.1147520000000051</v>
      </c>
      <c r="AF50" s="8">
        <f t="shared" si="11"/>
        <v>0.92000000000000048</v>
      </c>
      <c r="AG50" s="166">
        <f t="shared" si="6"/>
        <v>1.1733058070595221</v>
      </c>
      <c r="AH50" s="8">
        <f t="shared" si="7"/>
        <v>1.7677669529663742</v>
      </c>
      <c r="AI50" s="167">
        <f t="shared" si="8"/>
        <v>2.4395183950935975</v>
      </c>
    </row>
    <row r="51" spans="9:35" x14ac:dyDescent="0.25">
      <c r="I51" s="8">
        <f t="shared" si="14"/>
        <v>0.9400000000000005</v>
      </c>
      <c r="J51" s="166">
        <f t="shared" si="0"/>
        <v>1.8946068479998937E-7</v>
      </c>
      <c r="K51" s="8">
        <f t="shared" si="1"/>
        <v>3.0691367866366243E-6</v>
      </c>
      <c r="L51" s="167">
        <f t="shared" si="2"/>
        <v>2.1152736264442619E-5</v>
      </c>
      <c r="X51" s="8">
        <f t="shared" si="10"/>
        <v>0.9400000000000005</v>
      </c>
      <c r="Y51" s="166">
        <f t="shared" si="3"/>
        <v>1</v>
      </c>
      <c r="Z51" s="8">
        <f t="shared" si="4"/>
        <v>1.8800000000000008</v>
      </c>
      <c r="AA51" s="167">
        <f t="shared" si="5"/>
        <v>3.3223360000000053</v>
      </c>
      <c r="AF51" s="8">
        <f t="shared" si="11"/>
        <v>0.9400000000000005</v>
      </c>
      <c r="AG51" s="166">
        <f t="shared" si="6"/>
        <v>1.3403264107207267</v>
      </c>
      <c r="AH51" s="8">
        <f t="shared" si="7"/>
        <v>2.0412414523193236</v>
      </c>
      <c r="AI51" s="167">
        <f t="shared" si="8"/>
        <v>2.8781504477702482</v>
      </c>
    </row>
    <row r="52" spans="9:35" x14ac:dyDescent="0.25">
      <c r="I52" s="8">
        <f t="shared" si="14"/>
        <v>0.96000000000000052</v>
      </c>
      <c r="J52" s="166">
        <f t="shared" si="0"/>
        <v>1.1324620799998985E-8</v>
      </c>
      <c r="K52" s="8">
        <f t="shared" si="1"/>
        <v>1.9134079303678326E-7</v>
      </c>
      <c r="L52" s="167">
        <f t="shared" si="2"/>
        <v>1.3754494639290579E-6</v>
      </c>
      <c r="X52" s="8">
        <f t="shared" si="10"/>
        <v>0.96000000000000052</v>
      </c>
      <c r="Y52" s="166">
        <f t="shared" si="3"/>
        <v>1</v>
      </c>
      <c r="Z52" s="8">
        <f t="shared" si="4"/>
        <v>1.920000000000001</v>
      </c>
      <c r="AA52" s="167">
        <f t="shared" si="5"/>
        <v>3.5389440000000056</v>
      </c>
      <c r="AF52" s="8">
        <f t="shared" si="11"/>
        <v>0.96000000000000052</v>
      </c>
      <c r="AG52" s="166">
        <f t="shared" si="6"/>
        <v>1.6243683359035019</v>
      </c>
      <c r="AH52" s="8">
        <f t="shared" si="7"/>
        <v>2.5000000000000164</v>
      </c>
      <c r="AI52" s="167">
        <f t="shared" si="8"/>
        <v>3.6000000000000258</v>
      </c>
    </row>
    <row r="53" spans="9:35" x14ac:dyDescent="0.25">
      <c r="I53" s="8">
        <f t="shared" si="14"/>
        <v>0.98000000000000054</v>
      </c>
      <c r="J53" s="148">
        <f t="shared" si="0"/>
        <v>9.0316799999982906E-11</v>
      </c>
      <c r="K53" s="276">
        <f t="shared" si="1"/>
        <v>1.5902380031996985E-9</v>
      </c>
      <c r="L53" s="153">
        <f t="shared" si="2"/>
        <v>1.1912663710529423E-8</v>
      </c>
      <c r="X53" s="8">
        <f t="shared" si="10"/>
        <v>0.98000000000000054</v>
      </c>
      <c r="Y53" s="148">
        <f t="shared" si="3"/>
        <v>1</v>
      </c>
      <c r="Z53" s="276">
        <f t="shared" si="4"/>
        <v>1.9600000000000009</v>
      </c>
      <c r="AA53" s="153">
        <f t="shared" si="5"/>
        <v>3.7647680000000059</v>
      </c>
      <c r="AF53" s="8">
        <f t="shared" si="11"/>
        <v>0.98000000000000054</v>
      </c>
      <c r="AG53" s="148">
        <f t="shared" si="6"/>
        <v>2.273642044169963</v>
      </c>
      <c r="AH53" s="276">
        <f t="shared" si="7"/>
        <v>3.5355339059327848</v>
      </c>
      <c r="AI53" s="153">
        <f t="shared" si="8"/>
        <v>5.1972348417211975</v>
      </c>
    </row>
  </sheetData>
  <mergeCells count="3">
    <mergeCell ref="J2:L2"/>
    <mergeCell ref="Y2:AA2"/>
    <mergeCell ref="AG2:AI2"/>
  </mergeCells>
  <pageMargins left="0.7" right="0.7" top="0.75" bottom="0.75" header="0.3" footer="0.3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7"/>
  <dimension ref="A1:H22"/>
  <sheetViews>
    <sheetView workbookViewId="0"/>
  </sheetViews>
  <sheetFormatPr defaultRowHeight="15" x14ac:dyDescent="0.25"/>
  <cols>
    <col min="1" max="1" width="14.28515625" customWidth="1"/>
    <col min="3" max="3" width="3.5703125" customWidth="1"/>
    <col min="4" max="4" width="22.7109375" customWidth="1"/>
    <col min="5" max="5" width="18.5703125" customWidth="1"/>
  </cols>
  <sheetData>
    <row r="1" spans="1:4" x14ac:dyDescent="0.25">
      <c r="A1" s="1" t="s">
        <v>437</v>
      </c>
    </row>
    <row r="3" spans="1:4" x14ac:dyDescent="0.25">
      <c r="A3" t="s">
        <v>432</v>
      </c>
      <c r="B3" s="154">
        <v>4</v>
      </c>
    </row>
    <row r="4" spans="1:4" x14ac:dyDescent="0.25">
      <c r="A4" t="s">
        <v>433</v>
      </c>
      <c r="B4" s="163">
        <v>0</v>
      </c>
    </row>
    <row r="5" spans="1:4" x14ac:dyDescent="0.25">
      <c r="A5" t="s">
        <v>438</v>
      </c>
      <c r="B5" s="163">
        <v>6</v>
      </c>
    </row>
    <row r="6" spans="1:4" x14ac:dyDescent="0.25">
      <c r="A6" t="s">
        <v>440</v>
      </c>
      <c r="B6" s="163">
        <f>3/8</f>
        <v>0.375</v>
      </c>
    </row>
    <row r="7" spans="1:4" x14ac:dyDescent="0.25">
      <c r="A7" t="s">
        <v>441</v>
      </c>
      <c r="B7" s="163">
        <f>1/8</f>
        <v>0.125</v>
      </c>
    </row>
    <row r="8" spans="1:4" x14ac:dyDescent="0.25">
      <c r="A8" t="s">
        <v>442</v>
      </c>
      <c r="B8" s="163">
        <f>4/8</f>
        <v>0.5</v>
      </c>
    </row>
    <row r="9" spans="1:4" x14ac:dyDescent="0.25">
      <c r="A9" t="s">
        <v>439</v>
      </c>
      <c r="B9" s="163">
        <f>MULTINOMIAL(B3:B5)</f>
        <v>209.99999999999977</v>
      </c>
      <c r="D9" s="22" t="s">
        <v>447</v>
      </c>
    </row>
    <row r="10" spans="1:4" x14ac:dyDescent="0.25">
      <c r="A10" t="s">
        <v>444</v>
      </c>
      <c r="B10" s="163">
        <f>B6^B3</f>
        <v>1.9775390625E-2</v>
      </c>
      <c r="D10" s="22" t="s">
        <v>448</v>
      </c>
    </row>
    <row r="11" spans="1:4" x14ac:dyDescent="0.25">
      <c r="A11" t="s">
        <v>445</v>
      </c>
      <c r="B11" s="163">
        <f>B7^B4</f>
        <v>1</v>
      </c>
      <c r="D11" s="22" t="s">
        <v>449</v>
      </c>
    </row>
    <row r="12" spans="1:4" x14ac:dyDescent="0.25">
      <c r="A12" t="s">
        <v>446</v>
      </c>
      <c r="B12" s="163">
        <f>B8^B5</f>
        <v>1.5625E-2</v>
      </c>
      <c r="D12" s="22" t="s">
        <v>450</v>
      </c>
    </row>
    <row r="13" spans="1:4" x14ac:dyDescent="0.25">
      <c r="A13" t="s">
        <v>443</v>
      </c>
      <c r="B13" s="155">
        <f>B9*PRODUCT(B10:B12)</f>
        <v>6.4888000488281181E-2</v>
      </c>
      <c r="D13" s="22" t="s">
        <v>451</v>
      </c>
    </row>
    <row r="16" spans="1:4" x14ac:dyDescent="0.25">
      <c r="A16" t="s">
        <v>459</v>
      </c>
    </row>
    <row r="18" spans="1:8" x14ac:dyDescent="0.25">
      <c r="A18" t="s">
        <v>443</v>
      </c>
      <c r="B18" s="165">
        <f>B9*EXP(SUMPRODUCT(B3:B5,LN(B6:B8)))</f>
        <v>6.4888000488281153E-2</v>
      </c>
      <c r="D18" s="22" t="s">
        <v>452</v>
      </c>
      <c r="H18" t="e">
        <f ca="1">FTEXT(G18)</f>
        <v>#NAME?</v>
      </c>
    </row>
    <row r="20" spans="1:8" x14ac:dyDescent="0.25">
      <c r="A20" t="s">
        <v>443</v>
      </c>
      <c r="B20" s="205">
        <f t="array" ref="B20">PRODUCT(B9,B6:B8^B3:B5)</f>
        <v>6.4888000488281181E-2</v>
      </c>
      <c r="D20" t="e">
        <f ca="1">FTEXT(B20)</f>
        <v>#NAME?</v>
      </c>
    </row>
    <row r="22" spans="1:8" x14ac:dyDescent="0.25">
      <c r="A22" t="s">
        <v>443</v>
      </c>
      <c r="B22" s="165" t="e">
        <f ca="1">MULTINOMDIST(B3:B5,B6:B8)</f>
        <v>#NAME?</v>
      </c>
      <c r="D22" s="22" t="s">
        <v>453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9"/>
  <dimension ref="A1:I16"/>
  <sheetViews>
    <sheetView workbookViewId="0"/>
  </sheetViews>
  <sheetFormatPr defaultRowHeight="15" x14ac:dyDescent="0.25"/>
  <sheetData>
    <row r="1" spans="1:9" x14ac:dyDescent="0.25">
      <c r="A1" s="1" t="s">
        <v>454</v>
      </c>
      <c r="F1" s="19" t="s">
        <v>28</v>
      </c>
      <c r="G1">
        <v>2</v>
      </c>
      <c r="H1">
        <v>3</v>
      </c>
      <c r="I1">
        <v>4</v>
      </c>
    </row>
    <row r="2" spans="1:9" x14ac:dyDescent="0.25">
      <c r="F2">
        <v>0</v>
      </c>
      <c r="G2" s="316">
        <f t="shared" ref="G2:I14" si="0">POISSON($F2,G$1,FALSE)</f>
        <v>0.1353352832366127</v>
      </c>
      <c r="H2" s="292">
        <f t="shared" si="0"/>
        <v>4.9787068367863944E-2</v>
      </c>
      <c r="I2" s="317">
        <f t="shared" si="0"/>
        <v>1.8315638888734179E-2</v>
      </c>
    </row>
    <row r="3" spans="1:9" x14ac:dyDescent="0.25">
      <c r="A3" t="s">
        <v>250</v>
      </c>
      <c r="B3" s="154">
        <v>5.0000000000000001E-4</v>
      </c>
      <c r="F3">
        <f>F2+1</f>
        <v>1</v>
      </c>
      <c r="G3" s="166">
        <f t="shared" si="0"/>
        <v>0.27067056647322535</v>
      </c>
      <c r="H3" s="8">
        <f t="shared" si="0"/>
        <v>0.14936120510359185</v>
      </c>
      <c r="I3" s="167">
        <f t="shared" si="0"/>
        <v>7.3262555554936715E-2</v>
      </c>
    </row>
    <row r="4" spans="1:9" x14ac:dyDescent="0.25">
      <c r="A4" t="s">
        <v>105</v>
      </c>
      <c r="B4" s="163">
        <v>4000</v>
      </c>
      <c r="F4">
        <f>F3+1</f>
        <v>2</v>
      </c>
      <c r="G4" s="166">
        <f t="shared" si="0"/>
        <v>0.27067056647322546</v>
      </c>
      <c r="H4" s="8">
        <f t="shared" si="0"/>
        <v>0.22404180765538775</v>
      </c>
      <c r="I4" s="167">
        <f t="shared" si="0"/>
        <v>0.14652511110987346</v>
      </c>
    </row>
    <row r="5" spans="1:9" x14ac:dyDescent="0.25">
      <c r="A5" t="s">
        <v>28</v>
      </c>
      <c r="B5" s="155">
        <v>3</v>
      </c>
      <c r="F5">
        <f t="shared" ref="F5:F14" si="1">F4+1</f>
        <v>3</v>
      </c>
      <c r="G5" s="166">
        <f t="shared" si="0"/>
        <v>0.18044704431548364</v>
      </c>
      <c r="H5" s="8">
        <f t="shared" si="0"/>
        <v>0.22404180765538778</v>
      </c>
      <c r="I5" s="167">
        <f t="shared" si="0"/>
        <v>0.19536681481316462</v>
      </c>
    </row>
    <row r="6" spans="1:9" x14ac:dyDescent="0.25">
      <c r="F6">
        <f t="shared" si="1"/>
        <v>4</v>
      </c>
      <c r="G6" s="166">
        <f t="shared" si="0"/>
        <v>9.022352215774182E-2</v>
      </c>
      <c r="H6" s="8">
        <f t="shared" si="0"/>
        <v>0.16803135574154085</v>
      </c>
      <c r="I6" s="167">
        <f t="shared" si="0"/>
        <v>0.19536681481316462</v>
      </c>
    </row>
    <row r="7" spans="1:9" x14ac:dyDescent="0.25">
      <c r="A7" t="s">
        <v>455</v>
      </c>
      <c r="F7">
        <f t="shared" si="1"/>
        <v>5</v>
      </c>
      <c r="G7" s="166">
        <f t="shared" si="0"/>
        <v>3.6089408863096716E-2</v>
      </c>
      <c r="H7" s="8">
        <f t="shared" si="0"/>
        <v>0.10081881344492449</v>
      </c>
      <c r="I7" s="167">
        <f t="shared" si="0"/>
        <v>0.1562934518505317</v>
      </c>
    </row>
    <row r="8" spans="1:9" x14ac:dyDescent="0.25">
      <c r="F8">
        <f t="shared" si="1"/>
        <v>6</v>
      </c>
      <c r="G8" s="166">
        <f t="shared" si="0"/>
        <v>1.2029802954365572E-2</v>
      </c>
      <c r="H8" s="8">
        <f t="shared" si="0"/>
        <v>5.0409406722462261E-2</v>
      </c>
      <c r="I8" s="167">
        <f t="shared" si="0"/>
        <v>0.10419563456702115</v>
      </c>
    </row>
    <row r="9" spans="1:9" x14ac:dyDescent="0.25">
      <c r="A9" t="s">
        <v>456</v>
      </c>
      <c r="B9" s="154">
        <f>BINOMDIST(B5,B4,B3,TRUE)</f>
        <v>0.85716859294431169</v>
      </c>
      <c r="F9">
        <f t="shared" si="1"/>
        <v>7</v>
      </c>
      <c r="G9" s="166">
        <f t="shared" si="0"/>
        <v>3.4370865583901629E-3</v>
      </c>
      <c r="H9" s="8">
        <f t="shared" si="0"/>
        <v>2.1604031452483807E-2</v>
      </c>
      <c r="I9" s="167">
        <f t="shared" si="0"/>
        <v>5.9540362609726373E-2</v>
      </c>
    </row>
    <row r="10" spans="1:9" x14ac:dyDescent="0.25">
      <c r="A10" t="s">
        <v>457</v>
      </c>
      <c r="B10" s="155">
        <f>1-B9</f>
        <v>0.14283140705568831</v>
      </c>
      <c r="F10">
        <f t="shared" si="1"/>
        <v>8</v>
      </c>
      <c r="G10" s="166">
        <f t="shared" si="0"/>
        <v>8.5927163959754148E-4</v>
      </c>
      <c r="H10" s="8">
        <f t="shared" si="0"/>
        <v>8.1015117946814375E-3</v>
      </c>
      <c r="I10" s="167">
        <f t="shared" si="0"/>
        <v>2.9770181304863183E-2</v>
      </c>
    </row>
    <row r="11" spans="1:9" x14ac:dyDescent="0.25">
      <c r="F11">
        <f t="shared" si="1"/>
        <v>9</v>
      </c>
      <c r="G11" s="166">
        <f t="shared" si="0"/>
        <v>1.9094925324389769E-4</v>
      </c>
      <c r="H11" s="8">
        <f t="shared" si="0"/>
        <v>2.7005039315604771E-3</v>
      </c>
      <c r="I11" s="167">
        <f t="shared" si="0"/>
        <v>1.3231191691050297E-2</v>
      </c>
    </row>
    <row r="12" spans="1:9" x14ac:dyDescent="0.25">
      <c r="A12" t="s">
        <v>458</v>
      </c>
      <c r="F12">
        <f t="shared" si="1"/>
        <v>10</v>
      </c>
      <c r="G12" s="166">
        <f t="shared" si="0"/>
        <v>3.8189850648779602E-5</v>
      </c>
      <c r="H12" s="8">
        <f t="shared" si="0"/>
        <v>8.1015117946814244E-4</v>
      </c>
      <c r="I12" s="167">
        <f t="shared" si="0"/>
        <v>5.2924766764201169E-3</v>
      </c>
    </row>
    <row r="13" spans="1:9" x14ac:dyDescent="0.25">
      <c r="F13">
        <f t="shared" si="1"/>
        <v>11</v>
      </c>
      <c r="G13" s="166">
        <f t="shared" si="0"/>
        <v>6.9436092088690095E-6</v>
      </c>
      <c r="H13" s="8">
        <f t="shared" si="0"/>
        <v>2.2095032167312987E-4</v>
      </c>
      <c r="I13" s="167">
        <f t="shared" si="0"/>
        <v>1.9245369732436813E-3</v>
      </c>
    </row>
    <row r="14" spans="1:9" x14ac:dyDescent="0.25">
      <c r="A14" s="53" t="s">
        <v>422</v>
      </c>
      <c r="B14" s="154">
        <f>B3*B4</f>
        <v>2</v>
      </c>
      <c r="F14">
        <f t="shared" si="1"/>
        <v>12</v>
      </c>
      <c r="G14" s="148">
        <f t="shared" si="0"/>
        <v>1.1572682014781686E-6</v>
      </c>
      <c r="H14" s="276">
        <f t="shared" si="0"/>
        <v>5.5237580418282596E-5</v>
      </c>
      <c r="I14" s="153">
        <f t="shared" si="0"/>
        <v>6.4151232441456022E-4</v>
      </c>
    </row>
    <row r="15" spans="1:9" x14ac:dyDescent="0.25">
      <c r="A15" t="s">
        <v>456</v>
      </c>
      <c r="B15" s="163">
        <f>POISSON(B5,B14,TRUE)</f>
        <v>0.85712346049854693</v>
      </c>
    </row>
    <row r="16" spans="1:9" x14ac:dyDescent="0.25">
      <c r="A16" t="s">
        <v>457</v>
      </c>
      <c r="B16" s="155">
        <f>1-B15</f>
        <v>0.14287653950145307</v>
      </c>
    </row>
  </sheetData>
  <pageMargins left="0.7" right="0.7" top="0.75" bottom="0.75" header="0.3" footer="0.3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9"/>
  <dimension ref="A1:G8"/>
  <sheetViews>
    <sheetView workbookViewId="0"/>
  </sheetViews>
  <sheetFormatPr defaultRowHeight="15" x14ac:dyDescent="0.25"/>
  <cols>
    <col min="8" max="8" width="12" bestFit="1" customWidth="1"/>
    <col min="10" max="10" width="12" bestFit="1" customWidth="1"/>
  </cols>
  <sheetData>
    <row r="1" spans="1:7" x14ac:dyDescent="0.25">
      <c r="A1" s="1" t="s">
        <v>460</v>
      </c>
    </row>
    <row r="2" spans="1:7" x14ac:dyDescent="0.25">
      <c r="D2" s="592" t="s">
        <v>461</v>
      </c>
      <c r="E2" s="592"/>
      <c r="F2" s="592"/>
      <c r="G2" s="592"/>
    </row>
    <row r="3" spans="1:7" x14ac:dyDescent="0.25">
      <c r="A3" t="s">
        <v>63</v>
      </c>
      <c r="B3" s="154">
        <v>100</v>
      </c>
      <c r="D3" s="156">
        <f>B3</f>
        <v>100</v>
      </c>
      <c r="E3" s="171">
        <f>D3</f>
        <v>100</v>
      </c>
      <c r="F3" s="171">
        <f>E3</f>
        <v>100</v>
      </c>
      <c r="G3" s="172">
        <f>F3</f>
        <v>100</v>
      </c>
    </row>
    <row r="4" spans="1:7" x14ac:dyDescent="0.25">
      <c r="A4" t="s">
        <v>28</v>
      </c>
      <c r="B4" s="155">
        <v>120</v>
      </c>
      <c r="D4" s="148">
        <v>130</v>
      </c>
      <c r="E4" s="149">
        <v>125</v>
      </c>
      <c r="F4" s="149">
        <v>123</v>
      </c>
      <c r="G4" s="153">
        <v>124</v>
      </c>
    </row>
    <row r="6" spans="1:7" x14ac:dyDescent="0.25">
      <c r="A6" t="s">
        <v>456</v>
      </c>
      <c r="B6" s="165">
        <f>POISSON(B4,B3,TRUE)</f>
        <v>0.97733067092164738</v>
      </c>
      <c r="D6" s="168">
        <f>POISSON(D4,D3,TRUE)</f>
        <v>0.99829315962949849</v>
      </c>
      <c r="E6" s="180">
        <f>POISSON(E4,E3,TRUE)</f>
        <v>0.99320235101576038</v>
      </c>
      <c r="F6" s="180">
        <f>POISSON(F4,F3,TRUE)</f>
        <v>0.98875646350578461</v>
      </c>
      <c r="G6" s="181">
        <f>POISSON(G4,G3,TRUE)</f>
        <v>0.99122640101132675</v>
      </c>
    </row>
    <row r="8" spans="1:7" x14ac:dyDescent="0.25">
      <c r="D8" t="s">
        <v>1034</v>
      </c>
      <c r="G8" s="205" t="e">
        <f ca="1">POISSON_INV(0.99,B3)</f>
        <v>#NAME?</v>
      </c>
    </row>
  </sheetData>
  <mergeCells count="1">
    <mergeCell ref="D2:G2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A1:I14"/>
  <sheetViews>
    <sheetView workbookViewId="0"/>
  </sheetViews>
  <sheetFormatPr defaultRowHeight="15" x14ac:dyDescent="0.25"/>
  <cols>
    <col min="1" max="2" width="5.7109375" customWidth="1"/>
    <col min="6" max="7" width="5.7109375" customWidth="1"/>
  </cols>
  <sheetData>
    <row r="1" spans="1:9" x14ac:dyDescent="0.25">
      <c r="A1" s="1" t="s">
        <v>1392</v>
      </c>
      <c r="B1" s="1"/>
      <c r="F1" s="1"/>
      <c r="G1" s="1"/>
    </row>
    <row r="2" spans="1:9" x14ac:dyDescent="0.25">
      <c r="A2" s="1"/>
      <c r="B2" s="1"/>
      <c r="F2" s="1"/>
      <c r="G2" s="1"/>
    </row>
    <row r="3" spans="1:9" x14ac:dyDescent="0.25">
      <c r="A3" s="506" t="s">
        <v>28</v>
      </c>
      <c r="B3" s="507" t="s">
        <v>140</v>
      </c>
      <c r="C3" s="492" t="s">
        <v>102</v>
      </c>
      <c r="D3" s="492" t="s">
        <v>103</v>
      </c>
      <c r="F3" s="506" t="s">
        <v>28</v>
      </c>
      <c r="G3" s="507" t="s">
        <v>140</v>
      </c>
      <c r="H3" s="492" t="s">
        <v>102</v>
      </c>
      <c r="I3" s="492" t="s">
        <v>103</v>
      </c>
    </row>
    <row r="4" spans="1:9" x14ac:dyDescent="0.25">
      <c r="A4" s="504">
        <v>0</v>
      </c>
      <c r="B4" s="504">
        <v>0.05</v>
      </c>
      <c r="C4">
        <v>0</v>
      </c>
      <c r="D4">
        <f>CHIINV(B4/2,2*(A4+1))/2</f>
        <v>3.6888794541139363</v>
      </c>
      <c r="F4" s="504">
        <v>0</v>
      </c>
      <c r="G4" s="504">
        <v>0.01</v>
      </c>
      <c r="H4">
        <v>0</v>
      </c>
      <c r="I4">
        <f>CHIINV(G4/2,2*(F4+1))/2</f>
        <v>5.2983173665480363</v>
      </c>
    </row>
    <row r="5" spans="1:9" x14ac:dyDescent="0.25">
      <c r="A5" s="504">
        <f>A4+1</f>
        <v>1</v>
      </c>
      <c r="B5" s="504">
        <v>0.05</v>
      </c>
      <c r="C5">
        <f t="shared" ref="C5:C14" si="0">CHIINV(1-B5/2,2*A5)/2</f>
        <v>2.5317807984289897E-2</v>
      </c>
      <c r="D5">
        <f t="shared" ref="D5:D14" si="1">CHIINV(B5/2,2*(A5+1))/2</f>
        <v>5.5716433909388989</v>
      </c>
      <c r="F5" s="504">
        <f>F4+1</f>
        <v>1</v>
      </c>
      <c r="G5" s="504">
        <v>0.01</v>
      </c>
      <c r="H5">
        <f t="shared" ref="H5:H14" si="2">CHIINV(1-G5/2,2*F5)/2</f>
        <v>5.0125418235442863E-3</v>
      </c>
      <c r="I5">
        <f t="shared" ref="I5:I14" si="3">CHIINV(G5/2,2*(F5+1))/2</f>
        <v>7.4301295002801222</v>
      </c>
    </row>
    <row r="6" spans="1:9" x14ac:dyDescent="0.25">
      <c r="A6" s="504">
        <f>A5+1</f>
        <v>2</v>
      </c>
      <c r="B6" s="504">
        <v>0.05</v>
      </c>
      <c r="C6">
        <f t="shared" si="0"/>
        <v>0.24220927854396515</v>
      </c>
      <c r="D6">
        <f t="shared" si="1"/>
        <v>7.2246876677239609</v>
      </c>
      <c r="F6" s="504">
        <f>F5+1</f>
        <v>2</v>
      </c>
      <c r="G6" s="504">
        <v>0.01</v>
      </c>
      <c r="H6">
        <f t="shared" si="2"/>
        <v>0.10349454674809118</v>
      </c>
      <c r="I6">
        <f t="shared" si="3"/>
        <v>9.2737920892555454</v>
      </c>
    </row>
    <row r="7" spans="1:9" x14ac:dyDescent="0.25">
      <c r="A7" s="504">
        <f>A6+1</f>
        <v>3</v>
      </c>
      <c r="B7" s="504">
        <v>0.05</v>
      </c>
      <c r="C7">
        <f t="shared" si="0"/>
        <v>0.61867212289560225</v>
      </c>
      <c r="D7">
        <f t="shared" si="1"/>
        <v>8.7672730697423251</v>
      </c>
      <c r="F7" s="504">
        <f>F6+1</f>
        <v>3</v>
      </c>
      <c r="G7" s="504">
        <v>0.01</v>
      </c>
      <c r="H7">
        <f t="shared" si="2"/>
        <v>0.33786338872773397</v>
      </c>
      <c r="I7">
        <f t="shared" si="3"/>
        <v>10.977477495329765</v>
      </c>
    </row>
    <row r="8" spans="1:9" x14ac:dyDescent="0.25">
      <c r="A8" s="504">
        <f t="shared" ref="A8:A14" si="4">A7+1</f>
        <v>4</v>
      </c>
      <c r="B8" s="504">
        <v>0.05</v>
      </c>
      <c r="C8">
        <f t="shared" si="0"/>
        <v>1.0898653736263253</v>
      </c>
      <c r="D8">
        <f t="shared" si="1"/>
        <v>10.241588675403698</v>
      </c>
      <c r="F8" s="504">
        <f t="shared" ref="F8:F14" si="5">F7+1</f>
        <v>4</v>
      </c>
      <c r="G8" s="504">
        <v>0.01</v>
      </c>
      <c r="H8">
        <f t="shared" si="2"/>
        <v>0.67220654350740761</v>
      </c>
      <c r="I8">
        <f t="shared" si="3"/>
        <v>12.594089785985586</v>
      </c>
    </row>
    <row r="9" spans="1:9" x14ac:dyDescent="0.25">
      <c r="A9" s="504">
        <f t="shared" si="4"/>
        <v>5</v>
      </c>
      <c r="B9" s="504">
        <v>0.05</v>
      </c>
      <c r="C9">
        <f>CHIINV(1-B9/2,2*A9)/2</f>
        <v>1.6234863901184198</v>
      </c>
      <c r="D9">
        <f>CHIINV(B9/2,2*(A9+1))/2</f>
        <v>11.668332079322669</v>
      </c>
      <c r="F9" s="504">
        <f t="shared" si="5"/>
        <v>5</v>
      </c>
      <c r="G9" s="504">
        <v>0.01</v>
      </c>
      <c r="H9">
        <f t="shared" si="2"/>
        <v>1.0779282406523227</v>
      </c>
      <c r="I9">
        <f t="shared" si="3"/>
        <v>14.149759411023016</v>
      </c>
    </row>
    <row r="10" spans="1:9" x14ac:dyDescent="0.25">
      <c r="A10" s="504">
        <f t="shared" si="4"/>
        <v>6</v>
      </c>
      <c r="B10" s="504">
        <v>0.05</v>
      </c>
      <c r="C10">
        <f>CHIINV(1-B10/2,2*A10)/2</f>
        <v>2.2018942534908517</v>
      </c>
      <c r="D10">
        <f t="shared" si="1"/>
        <v>13.059474022518685</v>
      </c>
      <c r="F10" s="504">
        <f t="shared" si="5"/>
        <v>6</v>
      </c>
      <c r="G10" s="504">
        <v>0.01</v>
      </c>
      <c r="H10">
        <f t="shared" si="2"/>
        <v>1.5369118190446662</v>
      </c>
      <c r="I10">
        <f t="shared" si="3"/>
        <v>15.659674811297645</v>
      </c>
    </row>
    <row r="11" spans="1:9" x14ac:dyDescent="0.25">
      <c r="A11" s="504">
        <f t="shared" si="4"/>
        <v>7</v>
      </c>
      <c r="B11" s="504">
        <v>0.05</v>
      </c>
      <c r="C11">
        <f t="shared" si="0"/>
        <v>2.8143630515198659</v>
      </c>
      <c r="D11">
        <f t="shared" si="1"/>
        <v>14.42267536170238</v>
      </c>
      <c r="F11" s="504">
        <f t="shared" si="5"/>
        <v>7</v>
      </c>
      <c r="G11" s="504">
        <v>0.01</v>
      </c>
      <c r="H11">
        <f t="shared" si="2"/>
        <v>2.0373374786996741</v>
      </c>
      <c r="I11">
        <f t="shared" si="3"/>
        <v>17.133593268913351</v>
      </c>
    </row>
    <row r="12" spans="1:9" x14ac:dyDescent="0.25">
      <c r="A12" s="504">
        <f t="shared" si="4"/>
        <v>8</v>
      </c>
      <c r="B12" s="504">
        <v>0.05</v>
      </c>
      <c r="C12">
        <f t="shared" si="0"/>
        <v>3.453832176748501</v>
      </c>
      <c r="D12">
        <f t="shared" si="1"/>
        <v>15.763189220193315</v>
      </c>
      <c r="F12" s="504">
        <f t="shared" si="5"/>
        <v>8</v>
      </c>
      <c r="G12" s="504">
        <v>0.01</v>
      </c>
      <c r="H12">
        <f t="shared" si="2"/>
        <v>2.5711027215218412</v>
      </c>
      <c r="I12">
        <f t="shared" si="3"/>
        <v>18.578225728303373</v>
      </c>
    </row>
    <row r="13" spans="1:9" x14ac:dyDescent="0.25">
      <c r="A13" s="504">
        <f t="shared" si="4"/>
        <v>9</v>
      </c>
      <c r="B13" s="504">
        <v>0.05</v>
      </c>
      <c r="C13">
        <f t="shared" si="0"/>
        <v>4.1153730973783347</v>
      </c>
      <c r="D13">
        <f t="shared" si="1"/>
        <v>17.08480345141917</v>
      </c>
      <c r="F13" s="504">
        <f t="shared" si="5"/>
        <v>9</v>
      </c>
      <c r="G13" s="504">
        <v>0.01</v>
      </c>
      <c r="H13">
        <f t="shared" si="2"/>
        <v>3.1324023422532381</v>
      </c>
      <c r="I13">
        <f t="shared" si="3"/>
        <v>19.998423156469322</v>
      </c>
    </row>
    <row r="14" spans="1:9" x14ac:dyDescent="0.25">
      <c r="A14" s="505">
        <f t="shared" si="4"/>
        <v>10</v>
      </c>
      <c r="B14" s="505">
        <v>0.05</v>
      </c>
      <c r="C14" s="276">
        <f t="shared" si="0"/>
        <v>4.7953886961324335</v>
      </c>
      <c r="D14" s="276">
        <f t="shared" si="1"/>
        <v>18.390356042017778</v>
      </c>
      <c r="F14" s="505">
        <f t="shared" si="5"/>
        <v>10</v>
      </c>
      <c r="G14" s="505">
        <v>0.01</v>
      </c>
      <c r="H14" s="276">
        <f t="shared" si="2"/>
        <v>3.7169221314671179</v>
      </c>
      <c r="I14" s="276">
        <f t="shared" si="3"/>
        <v>21.397827499654269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4"/>
  <dimension ref="A1:Z24"/>
  <sheetViews>
    <sheetView workbookViewId="0"/>
  </sheetViews>
  <sheetFormatPr defaultRowHeight="15" x14ac:dyDescent="0.25"/>
  <sheetData>
    <row r="1" spans="1:26" x14ac:dyDescent="0.25">
      <c r="A1" s="1" t="s">
        <v>756</v>
      </c>
      <c r="B1" t="s">
        <v>758</v>
      </c>
      <c r="K1" t="s">
        <v>757</v>
      </c>
      <c r="U1" t="s">
        <v>759</v>
      </c>
    </row>
    <row r="3" spans="1:26" x14ac:dyDescent="0.25">
      <c r="B3">
        <v>0</v>
      </c>
      <c r="C3">
        <f t="shared" ref="C3:H3" si="0">B3+1</f>
        <v>1</v>
      </c>
      <c r="D3">
        <f t="shared" si="0"/>
        <v>2</v>
      </c>
      <c r="E3">
        <f t="shared" si="0"/>
        <v>3</v>
      </c>
      <c r="F3">
        <f t="shared" si="0"/>
        <v>4</v>
      </c>
      <c r="G3">
        <f t="shared" si="0"/>
        <v>5</v>
      </c>
      <c r="H3">
        <f t="shared" si="0"/>
        <v>6</v>
      </c>
      <c r="K3">
        <v>0</v>
      </c>
      <c r="L3">
        <f>K3+1</f>
        <v>1</v>
      </c>
      <c r="M3">
        <f t="shared" ref="M3:R3" si="1">L3+1</f>
        <v>2</v>
      </c>
      <c r="N3">
        <f t="shared" si="1"/>
        <v>3</v>
      </c>
      <c r="O3">
        <f t="shared" si="1"/>
        <v>4</v>
      </c>
      <c r="P3">
        <f t="shared" si="1"/>
        <v>5</v>
      </c>
      <c r="Q3">
        <f t="shared" si="1"/>
        <v>6</v>
      </c>
      <c r="R3">
        <f t="shared" si="1"/>
        <v>7</v>
      </c>
      <c r="U3">
        <v>1</v>
      </c>
      <c r="V3">
        <f>U3+1</f>
        <v>2</v>
      </c>
      <c r="W3">
        <f>V3+1</f>
        <v>3</v>
      </c>
      <c r="X3">
        <f>W3+1</f>
        <v>4</v>
      </c>
      <c r="Y3">
        <f>X3+1</f>
        <v>5</v>
      </c>
      <c r="Z3">
        <f>Y3+1</f>
        <v>6</v>
      </c>
    </row>
    <row r="4" spans="1:26" x14ac:dyDescent="0.25">
      <c r="A4">
        <v>0</v>
      </c>
      <c r="B4" s="268">
        <v>0</v>
      </c>
      <c r="C4" s="292">
        <f>B4</f>
        <v>0</v>
      </c>
      <c r="D4" s="292">
        <f>C4</f>
        <v>0</v>
      </c>
      <c r="E4" s="292">
        <f>D4</f>
        <v>0</v>
      </c>
      <c r="F4" s="292">
        <f>E4</f>
        <v>0</v>
      </c>
      <c r="G4" s="292">
        <f>F4</f>
        <v>0</v>
      </c>
      <c r="H4" s="270">
        <v>1</v>
      </c>
      <c r="J4">
        <v>0</v>
      </c>
      <c r="K4" s="268">
        <v>0</v>
      </c>
      <c r="L4" s="292">
        <f t="shared" ref="L4:Q4" si="2">K4</f>
        <v>0</v>
      </c>
      <c r="M4" s="292">
        <f t="shared" si="2"/>
        <v>0</v>
      </c>
      <c r="N4" s="292">
        <f t="shared" si="2"/>
        <v>0</v>
      </c>
      <c r="O4" s="292">
        <f t="shared" si="2"/>
        <v>0</v>
      </c>
      <c r="P4" s="292">
        <f t="shared" si="2"/>
        <v>0</v>
      </c>
      <c r="Q4" s="292">
        <f t="shared" si="2"/>
        <v>0</v>
      </c>
      <c r="R4" s="270">
        <v>1</v>
      </c>
      <c r="T4">
        <v>0</v>
      </c>
      <c r="U4" s="268">
        <v>0</v>
      </c>
      <c r="V4" s="292">
        <f>U4</f>
        <v>0</v>
      </c>
      <c r="W4" s="292">
        <f>V4</f>
        <v>0</v>
      </c>
      <c r="X4" s="292">
        <f>W4</f>
        <v>0</v>
      </c>
      <c r="Y4" s="292">
        <f>X4</f>
        <v>0</v>
      </c>
      <c r="Z4" s="270">
        <v>1</v>
      </c>
    </row>
    <row r="5" spans="1:26" x14ac:dyDescent="0.25">
      <c r="A5">
        <f>A4+1</f>
        <v>1</v>
      </c>
      <c r="B5" s="166">
        <f t="shared" ref="B5:G5" si="3">0.5*C4+0.5*$B4</f>
        <v>0</v>
      </c>
      <c r="C5" s="8">
        <f t="shared" si="3"/>
        <v>0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0.5</v>
      </c>
      <c r="H5" s="167">
        <f>H4</f>
        <v>1</v>
      </c>
      <c r="J5">
        <f>J4+1</f>
        <v>1</v>
      </c>
      <c r="K5" s="166">
        <f>0.5*L4+0.5*$K4</f>
        <v>0</v>
      </c>
      <c r="L5" s="8">
        <f t="shared" ref="L5:Q5" si="4">0.5*M4+0.5*$K4</f>
        <v>0</v>
      </c>
      <c r="M5" s="8">
        <f t="shared" si="4"/>
        <v>0</v>
      </c>
      <c r="N5" s="8">
        <f t="shared" si="4"/>
        <v>0</v>
      </c>
      <c r="O5" s="8">
        <f t="shared" si="4"/>
        <v>0</v>
      </c>
      <c r="P5" s="8">
        <f t="shared" si="4"/>
        <v>0</v>
      </c>
      <c r="Q5" s="8">
        <f t="shared" si="4"/>
        <v>0.5</v>
      </c>
      <c r="R5" s="167">
        <f>R4</f>
        <v>1</v>
      </c>
      <c r="T5">
        <f>T4+1</f>
        <v>1</v>
      </c>
      <c r="U5" s="166">
        <f>0.5*V4+0.5*$U4</f>
        <v>0</v>
      </c>
      <c r="V5" s="8">
        <f>0.5*W4+0.5*$U4</f>
        <v>0</v>
      </c>
      <c r="W5" s="8">
        <f>0.5*X4+0.5*$U4</f>
        <v>0</v>
      </c>
      <c r="X5" s="8">
        <f>0.5*Y4+0.5*$U4</f>
        <v>0</v>
      </c>
      <c r="Y5" s="8">
        <f>0.5*Z4+0.5*$U4</f>
        <v>0.5</v>
      </c>
      <c r="Z5" s="167">
        <f>Z4</f>
        <v>1</v>
      </c>
    </row>
    <row r="6" spans="1:26" x14ac:dyDescent="0.25">
      <c r="A6">
        <f t="shared" ref="A6:A23" si="5">A5+1</f>
        <v>2</v>
      </c>
      <c r="B6" s="166">
        <f t="shared" ref="B6:B24" si="6">0.5*C5+0.5*$B5</f>
        <v>0</v>
      </c>
      <c r="C6" s="8">
        <f t="shared" ref="C6:C24" si="7">0.5*D5+0.5*$B5</f>
        <v>0</v>
      </c>
      <c r="D6" s="8">
        <f t="shared" ref="D6:D24" si="8">0.5*E5+0.5*$B5</f>
        <v>0</v>
      </c>
      <c r="E6" s="8">
        <f t="shared" ref="E6:E24" si="9">0.5*F5+0.5*$B5</f>
        <v>0</v>
      </c>
      <c r="F6" s="8">
        <f t="shared" ref="F6:F24" si="10">0.5*G5+0.5*$B5</f>
        <v>0.25</v>
      </c>
      <c r="G6" s="8">
        <f t="shared" ref="G6:G24" si="11">0.5*H5+0.5*$B5</f>
        <v>0.5</v>
      </c>
      <c r="H6" s="167">
        <f t="shared" ref="H6:H24" si="12">H5</f>
        <v>1</v>
      </c>
      <c r="J6">
        <f t="shared" ref="J6:J23" si="13">J5+1</f>
        <v>2</v>
      </c>
      <c r="K6" s="166">
        <f t="shared" ref="K6:K23" si="14">0.5*L5+0.5*$K5</f>
        <v>0</v>
      </c>
      <c r="L6" s="8">
        <f t="shared" ref="L6:L23" si="15">0.5*M5+0.5*$K5</f>
        <v>0</v>
      </c>
      <c r="M6" s="8">
        <f t="shared" ref="M6:M23" si="16">0.5*N5+0.5*$K5</f>
        <v>0</v>
      </c>
      <c r="N6" s="8">
        <f t="shared" ref="N6:N23" si="17">0.5*O5+0.5*$K5</f>
        <v>0</v>
      </c>
      <c r="O6" s="8">
        <f t="shared" ref="O6:O23" si="18">0.5*P5+0.5*$K5</f>
        <v>0</v>
      </c>
      <c r="P6" s="8">
        <f t="shared" ref="P6:P23" si="19">0.5*Q5+0.5*$K5</f>
        <v>0.25</v>
      </c>
      <c r="Q6" s="8">
        <f t="shared" ref="Q6:Q23" si="20">0.5*R5+0.5*$K5</f>
        <v>0.5</v>
      </c>
      <c r="R6" s="167">
        <f t="shared" ref="R6:R24" si="21">R5</f>
        <v>1</v>
      </c>
      <c r="T6">
        <f t="shared" ref="T6:T23" si="22">T5+1</f>
        <v>2</v>
      </c>
      <c r="U6" s="166">
        <f t="shared" ref="U6:U23" si="23">0.5*V5+0.5*$U5</f>
        <v>0</v>
      </c>
      <c r="V6" s="8">
        <f t="shared" ref="V6:V23" si="24">0.5*W5+0.5*$U5</f>
        <v>0</v>
      </c>
      <c r="W6" s="8">
        <f t="shared" ref="W6:W23" si="25">0.5*X5+0.5*$U5</f>
        <v>0</v>
      </c>
      <c r="X6" s="8">
        <f t="shared" ref="X6:X23" si="26">0.5*Y5+0.5*$U5</f>
        <v>0.25</v>
      </c>
      <c r="Y6" s="8">
        <f t="shared" ref="Y6:Y23" si="27">0.5*Z5+0.5*$U5</f>
        <v>0.5</v>
      </c>
      <c r="Z6" s="167">
        <f t="shared" ref="Z6:Z23" si="28">Z5</f>
        <v>1</v>
      </c>
    </row>
    <row r="7" spans="1:26" x14ac:dyDescent="0.25">
      <c r="A7">
        <f t="shared" si="5"/>
        <v>3</v>
      </c>
      <c r="B7" s="166">
        <f t="shared" si="6"/>
        <v>0</v>
      </c>
      <c r="C7" s="8">
        <f t="shared" si="7"/>
        <v>0</v>
      </c>
      <c r="D7" s="8">
        <f t="shared" si="8"/>
        <v>0</v>
      </c>
      <c r="E7" s="8">
        <f t="shared" si="9"/>
        <v>0.125</v>
      </c>
      <c r="F7" s="8">
        <f t="shared" si="10"/>
        <v>0.25</v>
      </c>
      <c r="G7" s="8">
        <f t="shared" si="11"/>
        <v>0.5</v>
      </c>
      <c r="H7" s="167">
        <f t="shared" si="12"/>
        <v>1</v>
      </c>
      <c r="J7">
        <f t="shared" si="13"/>
        <v>3</v>
      </c>
      <c r="K7" s="166">
        <f t="shared" si="14"/>
        <v>0</v>
      </c>
      <c r="L7" s="8">
        <f t="shared" si="15"/>
        <v>0</v>
      </c>
      <c r="M7" s="8">
        <f t="shared" si="16"/>
        <v>0</v>
      </c>
      <c r="N7" s="8">
        <f t="shared" si="17"/>
        <v>0</v>
      </c>
      <c r="O7" s="8">
        <f t="shared" si="18"/>
        <v>0.125</v>
      </c>
      <c r="P7" s="8">
        <f t="shared" si="19"/>
        <v>0.25</v>
      </c>
      <c r="Q7" s="8">
        <f t="shared" si="20"/>
        <v>0.5</v>
      </c>
      <c r="R7" s="167">
        <f t="shared" si="21"/>
        <v>1</v>
      </c>
      <c r="T7">
        <f t="shared" si="22"/>
        <v>3</v>
      </c>
      <c r="U7" s="166">
        <f t="shared" si="23"/>
        <v>0</v>
      </c>
      <c r="V7" s="8">
        <f t="shared" si="24"/>
        <v>0</v>
      </c>
      <c r="W7" s="8">
        <f t="shared" si="25"/>
        <v>0.125</v>
      </c>
      <c r="X7" s="8">
        <f t="shared" si="26"/>
        <v>0.25</v>
      </c>
      <c r="Y7" s="8">
        <f t="shared" si="27"/>
        <v>0.5</v>
      </c>
      <c r="Z7" s="167">
        <f t="shared" si="28"/>
        <v>1</v>
      </c>
    </row>
    <row r="8" spans="1:26" x14ac:dyDescent="0.25">
      <c r="A8">
        <f t="shared" si="5"/>
        <v>4</v>
      </c>
      <c r="B8" s="166">
        <f t="shared" si="6"/>
        <v>0</v>
      </c>
      <c r="C8" s="8">
        <f t="shared" si="7"/>
        <v>0</v>
      </c>
      <c r="D8" s="8">
        <f t="shared" si="8"/>
        <v>6.25E-2</v>
      </c>
      <c r="E8" s="8">
        <f t="shared" si="9"/>
        <v>0.125</v>
      </c>
      <c r="F8" s="8">
        <f t="shared" si="10"/>
        <v>0.25</v>
      </c>
      <c r="G8" s="8">
        <f t="shared" si="11"/>
        <v>0.5</v>
      </c>
      <c r="H8" s="167">
        <f t="shared" si="12"/>
        <v>1</v>
      </c>
      <c r="J8">
        <f t="shared" si="13"/>
        <v>4</v>
      </c>
      <c r="K8" s="166">
        <f t="shared" si="14"/>
        <v>0</v>
      </c>
      <c r="L8" s="8">
        <f t="shared" si="15"/>
        <v>0</v>
      </c>
      <c r="M8" s="8">
        <f t="shared" si="16"/>
        <v>0</v>
      </c>
      <c r="N8" s="8">
        <f t="shared" si="17"/>
        <v>6.25E-2</v>
      </c>
      <c r="O8" s="8">
        <f t="shared" si="18"/>
        <v>0.125</v>
      </c>
      <c r="P8" s="8">
        <f t="shared" si="19"/>
        <v>0.25</v>
      </c>
      <c r="Q8" s="8">
        <f t="shared" si="20"/>
        <v>0.5</v>
      </c>
      <c r="R8" s="167">
        <f t="shared" si="21"/>
        <v>1</v>
      </c>
      <c r="T8">
        <f t="shared" si="22"/>
        <v>4</v>
      </c>
      <c r="U8" s="166">
        <f t="shared" si="23"/>
        <v>0</v>
      </c>
      <c r="V8" s="8">
        <f t="shared" si="24"/>
        <v>6.25E-2</v>
      </c>
      <c r="W8" s="8">
        <f t="shared" si="25"/>
        <v>0.125</v>
      </c>
      <c r="X8" s="8">
        <f t="shared" si="26"/>
        <v>0.25</v>
      </c>
      <c r="Y8" s="8">
        <f t="shared" si="27"/>
        <v>0.5</v>
      </c>
      <c r="Z8" s="167">
        <f t="shared" si="28"/>
        <v>1</v>
      </c>
    </row>
    <row r="9" spans="1:26" x14ac:dyDescent="0.25">
      <c r="A9">
        <f t="shared" si="5"/>
        <v>5</v>
      </c>
      <c r="B9" s="166">
        <f t="shared" si="6"/>
        <v>0</v>
      </c>
      <c r="C9" s="8">
        <f t="shared" si="7"/>
        <v>3.125E-2</v>
      </c>
      <c r="D9" s="8">
        <f t="shared" si="8"/>
        <v>6.25E-2</v>
      </c>
      <c r="E9" s="8">
        <f t="shared" si="9"/>
        <v>0.125</v>
      </c>
      <c r="F9" s="8">
        <f t="shared" si="10"/>
        <v>0.25</v>
      </c>
      <c r="G9" s="8">
        <f t="shared" si="11"/>
        <v>0.5</v>
      </c>
      <c r="H9" s="167">
        <f t="shared" si="12"/>
        <v>1</v>
      </c>
      <c r="J9">
        <f t="shared" si="13"/>
        <v>5</v>
      </c>
      <c r="K9" s="166">
        <f t="shared" si="14"/>
        <v>0</v>
      </c>
      <c r="L9" s="8">
        <f t="shared" si="15"/>
        <v>0</v>
      </c>
      <c r="M9" s="8">
        <f t="shared" si="16"/>
        <v>3.125E-2</v>
      </c>
      <c r="N9" s="8">
        <f t="shared" si="17"/>
        <v>6.25E-2</v>
      </c>
      <c r="O9" s="8">
        <f t="shared" si="18"/>
        <v>0.125</v>
      </c>
      <c r="P9" s="8">
        <f t="shared" si="19"/>
        <v>0.25</v>
      </c>
      <c r="Q9" s="8">
        <f t="shared" si="20"/>
        <v>0.5</v>
      </c>
      <c r="R9" s="167">
        <f t="shared" si="21"/>
        <v>1</v>
      </c>
      <c r="T9">
        <f t="shared" si="22"/>
        <v>5</v>
      </c>
      <c r="U9" s="166">
        <f t="shared" si="23"/>
        <v>3.125E-2</v>
      </c>
      <c r="V9" s="8">
        <f t="shared" si="24"/>
        <v>6.25E-2</v>
      </c>
      <c r="W9" s="8">
        <f t="shared" si="25"/>
        <v>0.125</v>
      </c>
      <c r="X9" s="8">
        <f t="shared" si="26"/>
        <v>0.25</v>
      </c>
      <c r="Y9" s="8">
        <f t="shared" si="27"/>
        <v>0.5</v>
      </c>
      <c r="Z9" s="167">
        <f t="shared" si="28"/>
        <v>1</v>
      </c>
    </row>
    <row r="10" spans="1:26" x14ac:dyDescent="0.25">
      <c r="A10">
        <f t="shared" si="5"/>
        <v>6</v>
      </c>
      <c r="B10" s="166">
        <f t="shared" si="6"/>
        <v>1.5625E-2</v>
      </c>
      <c r="C10" s="8">
        <f t="shared" si="7"/>
        <v>3.125E-2</v>
      </c>
      <c r="D10" s="8">
        <f t="shared" si="8"/>
        <v>6.25E-2</v>
      </c>
      <c r="E10" s="8">
        <f t="shared" si="9"/>
        <v>0.125</v>
      </c>
      <c r="F10" s="8">
        <f t="shared" si="10"/>
        <v>0.25</v>
      </c>
      <c r="G10" s="8">
        <f t="shared" si="11"/>
        <v>0.5</v>
      </c>
      <c r="H10" s="167">
        <f t="shared" si="12"/>
        <v>1</v>
      </c>
      <c r="J10">
        <f t="shared" si="13"/>
        <v>6</v>
      </c>
      <c r="K10" s="166">
        <f t="shared" si="14"/>
        <v>0</v>
      </c>
      <c r="L10" s="8">
        <f t="shared" si="15"/>
        <v>1.5625E-2</v>
      </c>
      <c r="M10" s="8">
        <f t="shared" si="16"/>
        <v>3.125E-2</v>
      </c>
      <c r="N10" s="8">
        <f t="shared" si="17"/>
        <v>6.25E-2</v>
      </c>
      <c r="O10" s="8">
        <f t="shared" si="18"/>
        <v>0.125</v>
      </c>
      <c r="P10" s="8">
        <f t="shared" si="19"/>
        <v>0.25</v>
      </c>
      <c r="Q10" s="8">
        <f t="shared" si="20"/>
        <v>0.5</v>
      </c>
      <c r="R10" s="167">
        <f t="shared" si="21"/>
        <v>1</v>
      </c>
      <c r="T10">
        <f t="shared" si="22"/>
        <v>6</v>
      </c>
      <c r="U10" s="166">
        <f t="shared" si="23"/>
        <v>4.6875E-2</v>
      </c>
      <c r="V10" s="8">
        <f t="shared" si="24"/>
        <v>7.8125E-2</v>
      </c>
      <c r="W10" s="8">
        <f t="shared" si="25"/>
        <v>0.140625</v>
      </c>
      <c r="X10" s="8">
        <f t="shared" si="26"/>
        <v>0.265625</v>
      </c>
      <c r="Y10" s="8">
        <f t="shared" si="27"/>
        <v>0.515625</v>
      </c>
      <c r="Z10" s="167">
        <f t="shared" si="28"/>
        <v>1</v>
      </c>
    </row>
    <row r="11" spans="1:26" x14ac:dyDescent="0.25">
      <c r="A11">
        <f t="shared" si="5"/>
        <v>7</v>
      </c>
      <c r="B11" s="166">
        <f t="shared" si="6"/>
        <v>2.34375E-2</v>
      </c>
      <c r="C11" s="8">
        <f t="shared" si="7"/>
        <v>3.90625E-2</v>
      </c>
      <c r="D11" s="8">
        <f t="shared" si="8"/>
        <v>7.03125E-2</v>
      </c>
      <c r="E11" s="8">
        <f t="shared" si="9"/>
        <v>0.1328125</v>
      </c>
      <c r="F11" s="8">
        <f t="shared" si="10"/>
        <v>0.2578125</v>
      </c>
      <c r="G11" s="8">
        <f t="shared" si="11"/>
        <v>0.5078125</v>
      </c>
      <c r="H11" s="167">
        <f t="shared" si="12"/>
        <v>1</v>
      </c>
      <c r="J11">
        <f t="shared" si="13"/>
        <v>7</v>
      </c>
      <c r="K11" s="166">
        <f t="shared" si="14"/>
        <v>7.8125E-3</v>
      </c>
      <c r="L11" s="8">
        <f t="shared" si="15"/>
        <v>1.5625E-2</v>
      </c>
      <c r="M11" s="8">
        <f t="shared" si="16"/>
        <v>3.125E-2</v>
      </c>
      <c r="N11" s="8">
        <f t="shared" si="17"/>
        <v>6.25E-2</v>
      </c>
      <c r="O11" s="8">
        <f t="shared" si="18"/>
        <v>0.125</v>
      </c>
      <c r="P11" s="8">
        <f t="shared" si="19"/>
        <v>0.25</v>
      </c>
      <c r="Q11" s="8">
        <f t="shared" si="20"/>
        <v>0.5</v>
      </c>
      <c r="R11" s="167">
        <f t="shared" si="21"/>
        <v>1</v>
      </c>
      <c r="T11">
        <f t="shared" si="22"/>
        <v>7</v>
      </c>
      <c r="U11" s="166">
        <f t="shared" si="23"/>
        <v>6.25E-2</v>
      </c>
      <c r="V11" s="8">
        <f t="shared" si="24"/>
        <v>9.375E-2</v>
      </c>
      <c r="W11" s="8">
        <f t="shared" si="25"/>
        <v>0.15625</v>
      </c>
      <c r="X11" s="8">
        <f t="shared" si="26"/>
        <v>0.28125</v>
      </c>
      <c r="Y11" s="8">
        <f t="shared" si="27"/>
        <v>0.5234375</v>
      </c>
      <c r="Z11" s="167">
        <f t="shared" si="28"/>
        <v>1</v>
      </c>
    </row>
    <row r="12" spans="1:26" x14ac:dyDescent="0.25">
      <c r="A12">
        <f t="shared" si="5"/>
        <v>8</v>
      </c>
      <c r="B12" s="166">
        <f t="shared" si="6"/>
        <v>3.125E-2</v>
      </c>
      <c r="C12" s="8">
        <f t="shared" si="7"/>
        <v>4.6875E-2</v>
      </c>
      <c r="D12" s="8">
        <f t="shared" si="8"/>
        <v>7.8125E-2</v>
      </c>
      <c r="E12" s="8">
        <f t="shared" si="9"/>
        <v>0.140625</v>
      </c>
      <c r="F12" s="8">
        <f t="shared" si="10"/>
        <v>0.265625</v>
      </c>
      <c r="G12" s="8">
        <f t="shared" si="11"/>
        <v>0.51171875</v>
      </c>
      <c r="H12" s="167">
        <f t="shared" si="12"/>
        <v>1</v>
      </c>
      <c r="J12">
        <f t="shared" si="13"/>
        <v>8</v>
      </c>
      <c r="K12" s="166">
        <f t="shared" si="14"/>
        <v>1.171875E-2</v>
      </c>
      <c r="L12" s="8">
        <f t="shared" si="15"/>
        <v>1.953125E-2</v>
      </c>
      <c r="M12" s="8">
        <f t="shared" si="16"/>
        <v>3.515625E-2</v>
      </c>
      <c r="N12" s="8">
        <f t="shared" si="17"/>
        <v>6.640625E-2</v>
      </c>
      <c r="O12" s="8">
        <f t="shared" si="18"/>
        <v>0.12890625</v>
      </c>
      <c r="P12" s="8">
        <f t="shared" si="19"/>
        <v>0.25390625</v>
      </c>
      <c r="Q12" s="8">
        <f t="shared" si="20"/>
        <v>0.50390625</v>
      </c>
      <c r="R12" s="167">
        <f t="shared" si="21"/>
        <v>1</v>
      </c>
      <c r="T12">
        <f t="shared" si="22"/>
        <v>8</v>
      </c>
      <c r="U12" s="166">
        <f t="shared" si="23"/>
        <v>7.8125E-2</v>
      </c>
      <c r="V12" s="8">
        <f t="shared" si="24"/>
        <v>0.109375</v>
      </c>
      <c r="W12" s="8">
        <f t="shared" si="25"/>
        <v>0.171875</v>
      </c>
      <c r="X12" s="8">
        <f t="shared" si="26"/>
        <v>0.29296875</v>
      </c>
      <c r="Y12" s="8">
        <f t="shared" si="27"/>
        <v>0.53125</v>
      </c>
      <c r="Z12" s="167">
        <f t="shared" si="28"/>
        <v>1</v>
      </c>
    </row>
    <row r="13" spans="1:26" x14ac:dyDescent="0.25">
      <c r="A13">
        <f t="shared" si="5"/>
        <v>9</v>
      </c>
      <c r="B13" s="166">
        <f t="shared" si="6"/>
        <v>3.90625E-2</v>
      </c>
      <c r="C13" s="8">
        <f t="shared" si="7"/>
        <v>5.46875E-2</v>
      </c>
      <c r="D13" s="8">
        <f t="shared" si="8"/>
        <v>8.59375E-2</v>
      </c>
      <c r="E13" s="8">
        <f t="shared" si="9"/>
        <v>0.1484375</v>
      </c>
      <c r="F13" s="8">
        <f t="shared" si="10"/>
        <v>0.271484375</v>
      </c>
      <c r="G13" s="8">
        <f t="shared" si="11"/>
        <v>0.515625</v>
      </c>
      <c r="H13" s="167">
        <f t="shared" si="12"/>
        <v>1</v>
      </c>
      <c r="J13">
        <f t="shared" si="13"/>
        <v>9</v>
      </c>
      <c r="K13" s="166">
        <f t="shared" si="14"/>
        <v>1.5625E-2</v>
      </c>
      <c r="L13" s="8">
        <f t="shared" si="15"/>
        <v>2.34375E-2</v>
      </c>
      <c r="M13" s="8">
        <f t="shared" si="16"/>
        <v>3.90625E-2</v>
      </c>
      <c r="N13" s="8">
        <f t="shared" si="17"/>
        <v>7.03125E-2</v>
      </c>
      <c r="O13" s="8">
        <f t="shared" si="18"/>
        <v>0.1328125</v>
      </c>
      <c r="P13" s="8">
        <f t="shared" si="19"/>
        <v>0.2578125</v>
      </c>
      <c r="Q13" s="8">
        <f t="shared" si="20"/>
        <v>0.505859375</v>
      </c>
      <c r="R13" s="167">
        <f t="shared" si="21"/>
        <v>1</v>
      </c>
      <c r="T13">
        <f t="shared" si="22"/>
        <v>9</v>
      </c>
      <c r="U13" s="166">
        <f t="shared" si="23"/>
        <v>9.375E-2</v>
      </c>
      <c r="V13" s="8">
        <f t="shared" si="24"/>
        <v>0.125</v>
      </c>
      <c r="W13" s="8">
        <f t="shared" si="25"/>
        <v>0.185546875</v>
      </c>
      <c r="X13" s="8">
        <f t="shared" si="26"/>
        <v>0.3046875</v>
      </c>
      <c r="Y13" s="8">
        <f t="shared" si="27"/>
        <v>0.5390625</v>
      </c>
      <c r="Z13" s="167">
        <f t="shared" si="28"/>
        <v>1</v>
      </c>
    </row>
    <row r="14" spans="1:26" x14ac:dyDescent="0.25">
      <c r="A14">
        <f t="shared" si="5"/>
        <v>10</v>
      </c>
      <c r="B14" s="166">
        <f t="shared" si="6"/>
        <v>4.6875E-2</v>
      </c>
      <c r="C14" s="8">
        <f t="shared" si="7"/>
        <v>6.25E-2</v>
      </c>
      <c r="D14" s="8">
        <f t="shared" si="8"/>
        <v>9.375E-2</v>
      </c>
      <c r="E14" s="8">
        <f t="shared" si="9"/>
        <v>0.1552734375</v>
      </c>
      <c r="F14" s="8">
        <f t="shared" si="10"/>
        <v>0.27734375</v>
      </c>
      <c r="G14" s="8">
        <f t="shared" si="11"/>
        <v>0.51953125</v>
      </c>
      <c r="H14" s="167">
        <f t="shared" si="12"/>
        <v>1</v>
      </c>
      <c r="J14">
        <f t="shared" si="13"/>
        <v>10</v>
      </c>
      <c r="K14" s="166">
        <f t="shared" si="14"/>
        <v>1.953125E-2</v>
      </c>
      <c r="L14" s="8">
        <f t="shared" si="15"/>
        <v>2.734375E-2</v>
      </c>
      <c r="M14" s="8">
        <f t="shared" si="16"/>
        <v>4.296875E-2</v>
      </c>
      <c r="N14" s="8">
        <f t="shared" si="17"/>
        <v>7.421875E-2</v>
      </c>
      <c r="O14" s="8">
        <f t="shared" si="18"/>
        <v>0.13671875</v>
      </c>
      <c r="P14" s="8">
        <f t="shared" si="19"/>
        <v>0.2607421875</v>
      </c>
      <c r="Q14" s="8">
        <f t="shared" si="20"/>
        <v>0.5078125</v>
      </c>
      <c r="R14" s="167">
        <f t="shared" si="21"/>
        <v>1</v>
      </c>
      <c r="T14">
        <f t="shared" si="22"/>
        <v>10</v>
      </c>
      <c r="U14" s="166">
        <f t="shared" si="23"/>
        <v>0.109375</v>
      </c>
      <c r="V14" s="8">
        <f t="shared" si="24"/>
        <v>0.1396484375</v>
      </c>
      <c r="W14" s="8">
        <f t="shared" si="25"/>
        <v>0.19921875</v>
      </c>
      <c r="X14" s="8">
        <f t="shared" si="26"/>
        <v>0.31640625</v>
      </c>
      <c r="Y14" s="8">
        <f t="shared" si="27"/>
        <v>0.546875</v>
      </c>
      <c r="Z14" s="167">
        <f t="shared" si="28"/>
        <v>1</v>
      </c>
    </row>
    <row r="15" spans="1:26" x14ac:dyDescent="0.25">
      <c r="A15">
        <f t="shared" si="5"/>
        <v>11</v>
      </c>
      <c r="B15" s="166">
        <f t="shared" si="6"/>
        <v>5.46875E-2</v>
      </c>
      <c r="C15" s="8">
        <f t="shared" si="7"/>
        <v>7.03125E-2</v>
      </c>
      <c r="D15" s="8">
        <f t="shared" si="8"/>
        <v>0.10107421875</v>
      </c>
      <c r="E15" s="8">
        <f t="shared" si="9"/>
        <v>0.162109375</v>
      </c>
      <c r="F15" s="8">
        <f t="shared" si="10"/>
        <v>0.283203125</v>
      </c>
      <c r="G15" s="8">
        <f t="shared" si="11"/>
        <v>0.5234375</v>
      </c>
      <c r="H15" s="167">
        <f t="shared" si="12"/>
        <v>1</v>
      </c>
      <c r="J15">
        <f t="shared" si="13"/>
        <v>11</v>
      </c>
      <c r="K15" s="166">
        <f t="shared" si="14"/>
        <v>2.34375E-2</v>
      </c>
      <c r="L15" s="8">
        <f t="shared" si="15"/>
        <v>3.125E-2</v>
      </c>
      <c r="M15" s="8">
        <f t="shared" si="16"/>
        <v>4.6875E-2</v>
      </c>
      <c r="N15" s="8">
        <f t="shared" si="17"/>
        <v>7.8125E-2</v>
      </c>
      <c r="O15" s="8">
        <f t="shared" si="18"/>
        <v>0.14013671875</v>
      </c>
      <c r="P15" s="8">
        <f t="shared" si="19"/>
        <v>0.263671875</v>
      </c>
      <c r="Q15" s="8">
        <f t="shared" si="20"/>
        <v>0.509765625</v>
      </c>
      <c r="R15" s="167">
        <f t="shared" si="21"/>
        <v>1</v>
      </c>
      <c r="T15">
        <f t="shared" si="22"/>
        <v>11</v>
      </c>
      <c r="U15" s="166">
        <f t="shared" si="23"/>
        <v>0.12451171875</v>
      </c>
      <c r="V15" s="8">
        <f t="shared" si="24"/>
        <v>0.154296875</v>
      </c>
      <c r="W15" s="8">
        <f t="shared" si="25"/>
        <v>0.212890625</v>
      </c>
      <c r="X15" s="8">
        <f t="shared" si="26"/>
        <v>0.328125</v>
      </c>
      <c r="Y15" s="8">
        <f t="shared" si="27"/>
        <v>0.5546875</v>
      </c>
      <c r="Z15" s="167">
        <f t="shared" si="28"/>
        <v>1</v>
      </c>
    </row>
    <row r="16" spans="1:26" x14ac:dyDescent="0.25">
      <c r="A16">
        <f t="shared" si="5"/>
        <v>12</v>
      </c>
      <c r="B16" s="166">
        <f t="shared" si="6"/>
        <v>6.25E-2</v>
      </c>
      <c r="C16" s="8">
        <f t="shared" si="7"/>
        <v>7.7880859375E-2</v>
      </c>
      <c r="D16" s="8">
        <f t="shared" si="8"/>
        <v>0.1083984375</v>
      </c>
      <c r="E16" s="8">
        <f t="shared" si="9"/>
        <v>0.1689453125</v>
      </c>
      <c r="F16" s="8">
        <f t="shared" si="10"/>
        <v>0.2890625</v>
      </c>
      <c r="G16" s="8">
        <f t="shared" si="11"/>
        <v>0.52734375</v>
      </c>
      <c r="H16" s="167">
        <f t="shared" si="12"/>
        <v>1</v>
      </c>
      <c r="J16">
        <f t="shared" si="13"/>
        <v>12</v>
      </c>
      <c r="K16" s="166">
        <f t="shared" si="14"/>
        <v>2.734375E-2</v>
      </c>
      <c r="L16" s="8">
        <f t="shared" si="15"/>
        <v>3.515625E-2</v>
      </c>
      <c r="M16" s="8">
        <f t="shared" si="16"/>
        <v>5.078125E-2</v>
      </c>
      <c r="N16" s="8">
        <f t="shared" si="17"/>
        <v>8.1787109375E-2</v>
      </c>
      <c r="O16" s="8">
        <f t="shared" si="18"/>
        <v>0.1435546875</v>
      </c>
      <c r="P16" s="8">
        <f t="shared" si="19"/>
        <v>0.2666015625</v>
      </c>
      <c r="Q16" s="8">
        <f t="shared" si="20"/>
        <v>0.51171875</v>
      </c>
      <c r="R16" s="167">
        <f t="shared" si="21"/>
        <v>1</v>
      </c>
      <c r="T16">
        <f t="shared" si="22"/>
        <v>12</v>
      </c>
      <c r="U16" s="166">
        <f t="shared" si="23"/>
        <v>0.139404296875</v>
      </c>
      <c r="V16" s="8">
        <f t="shared" si="24"/>
        <v>0.168701171875</v>
      </c>
      <c r="W16" s="8">
        <f t="shared" si="25"/>
        <v>0.226318359375</v>
      </c>
      <c r="X16" s="8">
        <f t="shared" si="26"/>
        <v>0.339599609375</v>
      </c>
      <c r="Y16" s="8">
        <f t="shared" si="27"/>
        <v>0.562255859375</v>
      </c>
      <c r="Z16" s="167">
        <f t="shared" si="28"/>
        <v>1</v>
      </c>
    </row>
    <row r="17" spans="1:26" x14ac:dyDescent="0.25">
      <c r="A17">
        <f t="shared" si="5"/>
        <v>13</v>
      </c>
      <c r="B17" s="166">
        <f t="shared" si="6"/>
        <v>7.01904296875E-2</v>
      </c>
      <c r="C17" s="8">
        <f t="shared" si="7"/>
        <v>8.544921875E-2</v>
      </c>
      <c r="D17" s="8">
        <f t="shared" si="8"/>
        <v>0.11572265625</v>
      </c>
      <c r="E17" s="8">
        <f t="shared" si="9"/>
        <v>0.17578125</v>
      </c>
      <c r="F17" s="8">
        <f t="shared" si="10"/>
        <v>0.294921875</v>
      </c>
      <c r="G17" s="8">
        <f t="shared" si="11"/>
        <v>0.53125</v>
      </c>
      <c r="H17" s="167">
        <f t="shared" si="12"/>
        <v>1</v>
      </c>
      <c r="J17">
        <f t="shared" si="13"/>
        <v>13</v>
      </c>
      <c r="K17" s="166">
        <f t="shared" si="14"/>
        <v>3.125E-2</v>
      </c>
      <c r="L17" s="8">
        <f t="shared" si="15"/>
        <v>3.90625E-2</v>
      </c>
      <c r="M17" s="8">
        <f t="shared" si="16"/>
        <v>5.45654296875E-2</v>
      </c>
      <c r="N17" s="8">
        <f t="shared" si="17"/>
        <v>8.544921875E-2</v>
      </c>
      <c r="O17" s="8">
        <f t="shared" si="18"/>
        <v>0.14697265625</v>
      </c>
      <c r="P17" s="8">
        <f t="shared" si="19"/>
        <v>0.26953125</v>
      </c>
      <c r="Q17" s="8">
        <f t="shared" si="20"/>
        <v>0.513671875</v>
      </c>
      <c r="R17" s="167">
        <f t="shared" si="21"/>
        <v>1</v>
      </c>
      <c r="T17">
        <f t="shared" si="22"/>
        <v>13</v>
      </c>
      <c r="U17" s="166">
        <f t="shared" si="23"/>
        <v>0.154052734375</v>
      </c>
      <c r="V17" s="8">
        <f t="shared" si="24"/>
        <v>0.182861328125</v>
      </c>
      <c r="W17" s="8">
        <f t="shared" si="25"/>
        <v>0.239501953125</v>
      </c>
      <c r="X17" s="8">
        <f t="shared" si="26"/>
        <v>0.350830078125</v>
      </c>
      <c r="Y17" s="8">
        <f t="shared" si="27"/>
        <v>0.5697021484375</v>
      </c>
      <c r="Z17" s="167">
        <f t="shared" si="28"/>
        <v>1</v>
      </c>
    </row>
    <row r="18" spans="1:26" x14ac:dyDescent="0.25">
      <c r="A18">
        <f t="shared" si="5"/>
        <v>14</v>
      </c>
      <c r="B18" s="166">
        <f t="shared" si="6"/>
        <v>7.781982421875E-2</v>
      </c>
      <c r="C18" s="8">
        <f t="shared" si="7"/>
        <v>9.295654296875E-2</v>
      </c>
      <c r="D18" s="8">
        <f t="shared" si="8"/>
        <v>0.12298583984375</v>
      </c>
      <c r="E18" s="8">
        <f t="shared" si="9"/>
        <v>0.18255615234375</v>
      </c>
      <c r="F18" s="8">
        <f t="shared" si="10"/>
        <v>0.30072021484375</v>
      </c>
      <c r="G18" s="8">
        <f t="shared" si="11"/>
        <v>0.53509521484375</v>
      </c>
      <c r="H18" s="167">
        <f t="shared" si="12"/>
        <v>1</v>
      </c>
      <c r="J18">
        <f t="shared" si="13"/>
        <v>14</v>
      </c>
      <c r="K18" s="166">
        <f t="shared" si="14"/>
        <v>3.515625E-2</v>
      </c>
      <c r="L18" s="8">
        <f t="shared" si="15"/>
        <v>4.290771484375E-2</v>
      </c>
      <c r="M18" s="8">
        <f t="shared" si="16"/>
        <v>5.8349609375E-2</v>
      </c>
      <c r="N18" s="8">
        <f t="shared" si="17"/>
        <v>8.9111328125E-2</v>
      </c>
      <c r="O18" s="8">
        <f t="shared" si="18"/>
        <v>0.150390625</v>
      </c>
      <c r="P18" s="8">
        <f t="shared" si="19"/>
        <v>0.2724609375</v>
      </c>
      <c r="Q18" s="8">
        <f t="shared" si="20"/>
        <v>0.515625</v>
      </c>
      <c r="R18" s="167">
        <f t="shared" si="21"/>
        <v>1</v>
      </c>
      <c r="T18">
        <f t="shared" si="22"/>
        <v>14</v>
      </c>
      <c r="U18" s="166">
        <f t="shared" si="23"/>
        <v>0.16845703125</v>
      </c>
      <c r="V18" s="8">
        <f t="shared" si="24"/>
        <v>0.19677734375</v>
      </c>
      <c r="W18" s="8">
        <f t="shared" si="25"/>
        <v>0.25244140625</v>
      </c>
      <c r="X18" s="8">
        <f t="shared" si="26"/>
        <v>0.36187744140625</v>
      </c>
      <c r="Y18" s="8">
        <f t="shared" si="27"/>
        <v>0.5770263671875</v>
      </c>
      <c r="Z18" s="167">
        <f t="shared" si="28"/>
        <v>1</v>
      </c>
    </row>
    <row r="19" spans="1:26" x14ac:dyDescent="0.25">
      <c r="A19">
        <f t="shared" si="5"/>
        <v>15</v>
      </c>
      <c r="B19" s="166">
        <f t="shared" si="6"/>
        <v>8.538818359375E-2</v>
      </c>
      <c r="C19" s="8">
        <f t="shared" si="7"/>
        <v>0.10040283203125</v>
      </c>
      <c r="D19" s="8">
        <f t="shared" si="8"/>
        <v>0.13018798828125</v>
      </c>
      <c r="E19" s="8">
        <f t="shared" si="9"/>
        <v>0.18927001953125</v>
      </c>
      <c r="F19" s="8">
        <f t="shared" si="10"/>
        <v>0.30645751953125</v>
      </c>
      <c r="G19" s="8">
        <f t="shared" si="11"/>
        <v>0.538909912109375</v>
      </c>
      <c r="H19" s="167">
        <f t="shared" si="12"/>
        <v>1</v>
      </c>
      <c r="J19">
        <f t="shared" si="13"/>
        <v>15</v>
      </c>
      <c r="K19" s="166">
        <f t="shared" si="14"/>
        <v>3.9031982421875E-2</v>
      </c>
      <c r="L19" s="8">
        <f t="shared" si="15"/>
        <v>4.67529296875E-2</v>
      </c>
      <c r="M19" s="8">
        <f t="shared" si="16"/>
        <v>6.21337890625E-2</v>
      </c>
      <c r="N19" s="8">
        <f t="shared" si="17"/>
        <v>9.27734375E-2</v>
      </c>
      <c r="O19" s="8">
        <f t="shared" si="18"/>
        <v>0.15380859375</v>
      </c>
      <c r="P19" s="8">
        <f t="shared" si="19"/>
        <v>0.275390625</v>
      </c>
      <c r="Q19" s="8">
        <f t="shared" si="20"/>
        <v>0.517578125</v>
      </c>
      <c r="R19" s="167">
        <f t="shared" si="21"/>
        <v>1</v>
      </c>
      <c r="T19">
        <f t="shared" si="22"/>
        <v>15</v>
      </c>
      <c r="U19" s="166">
        <f t="shared" si="23"/>
        <v>0.1826171875</v>
      </c>
      <c r="V19" s="8">
        <f t="shared" si="24"/>
        <v>0.21044921875</v>
      </c>
      <c r="W19" s="8">
        <f t="shared" si="25"/>
        <v>0.265167236328125</v>
      </c>
      <c r="X19" s="8">
        <f t="shared" si="26"/>
        <v>0.37274169921875</v>
      </c>
      <c r="Y19" s="8">
        <f t="shared" si="27"/>
        <v>0.584228515625</v>
      </c>
      <c r="Z19" s="167">
        <f t="shared" si="28"/>
        <v>1</v>
      </c>
    </row>
    <row r="20" spans="1:26" x14ac:dyDescent="0.25">
      <c r="A20">
        <f t="shared" si="5"/>
        <v>16</v>
      </c>
      <c r="B20" s="166">
        <f t="shared" si="6"/>
        <v>9.28955078125E-2</v>
      </c>
      <c r="C20" s="8">
        <f t="shared" si="7"/>
        <v>0.1077880859375</v>
      </c>
      <c r="D20" s="8">
        <f t="shared" si="8"/>
        <v>0.1373291015625</v>
      </c>
      <c r="E20" s="8">
        <f t="shared" si="9"/>
        <v>0.1959228515625</v>
      </c>
      <c r="F20" s="8">
        <f t="shared" si="10"/>
        <v>0.3121490478515625</v>
      </c>
      <c r="G20" s="8">
        <f t="shared" si="11"/>
        <v>0.542694091796875</v>
      </c>
      <c r="H20" s="167">
        <f t="shared" si="12"/>
        <v>1</v>
      </c>
      <c r="J20">
        <f t="shared" si="13"/>
        <v>16</v>
      </c>
      <c r="K20" s="166">
        <f t="shared" si="14"/>
        <v>4.28924560546875E-2</v>
      </c>
      <c r="L20" s="8">
        <f t="shared" si="15"/>
        <v>5.05828857421875E-2</v>
      </c>
      <c r="M20" s="8">
        <f t="shared" si="16"/>
        <v>6.59027099609375E-2</v>
      </c>
      <c r="N20" s="8">
        <f t="shared" si="17"/>
        <v>9.64202880859375E-2</v>
      </c>
      <c r="O20" s="8">
        <f t="shared" si="18"/>
        <v>0.1572113037109375</v>
      </c>
      <c r="P20" s="8">
        <f t="shared" si="19"/>
        <v>0.2783050537109375</v>
      </c>
      <c r="Q20" s="8">
        <f t="shared" si="20"/>
        <v>0.5195159912109375</v>
      </c>
      <c r="R20" s="167">
        <f t="shared" si="21"/>
        <v>1</v>
      </c>
      <c r="T20">
        <f t="shared" si="22"/>
        <v>16</v>
      </c>
      <c r="U20" s="166">
        <f t="shared" si="23"/>
        <v>0.196533203125</v>
      </c>
      <c r="V20" s="8">
        <f t="shared" si="24"/>
        <v>0.2238922119140625</v>
      </c>
      <c r="W20" s="8">
        <f t="shared" si="25"/>
        <v>0.277679443359375</v>
      </c>
      <c r="X20" s="8">
        <f t="shared" si="26"/>
        <v>0.3834228515625</v>
      </c>
      <c r="Y20" s="8">
        <f t="shared" si="27"/>
        <v>0.59130859375</v>
      </c>
      <c r="Z20" s="167">
        <f t="shared" si="28"/>
        <v>1</v>
      </c>
    </row>
    <row r="21" spans="1:26" x14ac:dyDescent="0.25">
      <c r="A21">
        <f t="shared" si="5"/>
        <v>17</v>
      </c>
      <c r="B21" s="166">
        <f t="shared" si="6"/>
        <v>0.100341796875</v>
      </c>
      <c r="C21" s="8">
        <f t="shared" si="7"/>
        <v>0.1151123046875</v>
      </c>
      <c r="D21" s="8">
        <f t="shared" si="8"/>
        <v>0.1444091796875</v>
      </c>
      <c r="E21" s="8">
        <f t="shared" si="9"/>
        <v>0.20252227783203125</v>
      </c>
      <c r="F21" s="8">
        <f t="shared" si="10"/>
        <v>0.3177947998046875</v>
      </c>
      <c r="G21" s="8">
        <f t="shared" si="11"/>
        <v>0.54644775390625</v>
      </c>
      <c r="H21" s="167">
        <f t="shared" si="12"/>
        <v>1</v>
      </c>
      <c r="J21">
        <f t="shared" si="13"/>
        <v>17</v>
      </c>
      <c r="K21" s="166">
        <f t="shared" si="14"/>
        <v>4.67376708984375E-2</v>
      </c>
      <c r="L21" s="8">
        <f t="shared" si="15"/>
        <v>5.43975830078125E-2</v>
      </c>
      <c r="M21" s="8">
        <f t="shared" si="16"/>
        <v>6.96563720703125E-2</v>
      </c>
      <c r="N21" s="8">
        <f t="shared" si="17"/>
        <v>0.1000518798828125</v>
      </c>
      <c r="O21" s="8">
        <f t="shared" si="18"/>
        <v>0.1605987548828125</v>
      </c>
      <c r="P21" s="8">
        <f t="shared" si="19"/>
        <v>0.2812042236328125</v>
      </c>
      <c r="Q21" s="8">
        <f t="shared" si="20"/>
        <v>0.52144622802734375</v>
      </c>
      <c r="R21" s="167">
        <f t="shared" si="21"/>
        <v>1</v>
      </c>
      <c r="T21">
        <f t="shared" si="22"/>
        <v>17</v>
      </c>
      <c r="U21" s="166">
        <f t="shared" si="23"/>
        <v>0.21021270751953125</v>
      </c>
      <c r="V21" s="8">
        <f t="shared" si="24"/>
        <v>0.2371063232421875</v>
      </c>
      <c r="W21" s="8">
        <f t="shared" si="25"/>
        <v>0.28997802734375</v>
      </c>
      <c r="X21" s="8">
        <f t="shared" si="26"/>
        <v>0.3939208984375</v>
      </c>
      <c r="Y21" s="8">
        <f t="shared" si="27"/>
        <v>0.5982666015625</v>
      </c>
      <c r="Z21" s="167">
        <f t="shared" si="28"/>
        <v>1</v>
      </c>
    </row>
    <row r="22" spans="1:26" x14ac:dyDescent="0.25">
      <c r="A22">
        <f t="shared" si="5"/>
        <v>18</v>
      </c>
      <c r="B22" s="166">
        <f t="shared" si="6"/>
        <v>0.10772705078125</v>
      </c>
      <c r="C22" s="8">
        <f t="shared" si="7"/>
        <v>0.12237548828125</v>
      </c>
      <c r="D22" s="8">
        <f t="shared" si="8"/>
        <v>0.15143203735351563</v>
      </c>
      <c r="E22" s="8">
        <f t="shared" si="9"/>
        <v>0.20906829833984375</v>
      </c>
      <c r="F22" s="8">
        <f t="shared" si="10"/>
        <v>0.323394775390625</v>
      </c>
      <c r="G22" s="8">
        <f t="shared" si="11"/>
        <v>0.5501708984375</v>
      </c>
      <c r="H22" s="167">
        <f t="shared" si="12"/>
        <v>1</v>
      </c>
      <c r="J22">
        <f t="shared" si="13"/>
        <v>18</v>
      </c>
      <c r="K22" s="166">
        <f t="shared" si="14"/>
        <v>5.0567626953125E-2</v>
      </c>
      <c r="L22" s="8">
        <f t="shared" si="15"/>
        <v>5.8197021484375E-2</v>
      </c>
      <c r="M22" s="8">
        <f t="shared" si="16"/>
        <v>7.3394775390625E-2</v>
      </c>
      <c r="N22" s="8">
        <f t="shared" si="17"/>
        <v>0.103668212890625</v>
      </c>
      <c r="O22" s="8">
        <f t="shared" si="18"/>
        <v>0.163970947265625</v>
      </c>
      <c r="P22" s="8">
        <f t="shared" si="19"/>
        <v>0.28409194946289063</v>
      </c>
      <c r="Q22" s="8">
        <f t="shared" si="20"/>
        <v>0.52336883544921875</v>
      </c>
      <c r="R22" s="167">
        <f t="shared" si="21"/>
        <v>1</v>
      </c>
      <c r="T22">
        <f t="shared" si="22"/>
        <v>18</v>
      </c>
      <c r="U22" s="166">
        <f t="shared" si="23"/>
        <v>0.22365951538085938</v>
      </c>
      <c r="V22" s="8">
        <f t="shared" si="24"/>
        <v>0.25009536743164063</v>
      </c>
      <c r="W22" s="8">
        <f t="shared" si="25"/>
        <v>0.30206680297851563</v>
      </c>
      <c r="X22" s="8">
        <f t="shared" si="26"/>
        <v>0.40423965454101563</v>
      </c>
      <c r="Y22" s="8">
        <f t="shared" si="27"/>
        <v>0.60510635375976563</v>
      </c>
      <c r="Z22" s="167">
        <f t="shared" si="28"/>
        <v>1</v>
      </c>
    </row>
    <row r="23" spans="1:26" x14ac:dyDescent="0.25">
      <c r="A23">
        <f t="shared" si="5"/>
        <v>19</v>
      </c>
      <c r="B23" s="166">
        <f t="shared" si="6"/>
        <v>0.11505126953125</v>
      </c>
      <c r="C23" s="8">
        <f t="shared" si="7"/>
        <v>0.12957954406738281</v>
      </c>
      <c r="D23" s="8">
        <f t="shared" si="8"/>
        <v>0.15839767456054688</v>
      </c>
      <c r="E23" s="8">
        <f t="shared" si="9"/>
        <v>0.2155609130859375</v>
      </c>
      <c r="F23" s="8">
        <f t="shared" si="10"/>
        <v>0.328948974609375</v>
      </c>
      <c r="G23" s="8">
        <f t="shared" si="11"/>
        <v>0.553863525390625</v>
      </c>
      <c r="H23" s="167">
        <f t="shared" si="12"/>
        <v>1</v>
      </c>
      <c r="J23">
        <f t="shared" si="13"/>
        <v>19</v>
      </c>
      <c r="K23" s="166">
        <f t="shared" si="14"/>
        <v>5.438232421875E-2</v>
      </c>
      <c r="L23" s="8">
        <f t="shared" si="15"/>
        <v>6.1981201171875E-2</v>
      </c>
      <c r="M23" s="8">
        <f t="shared" si="16"/>
        <v>7.7117919921875E-2</v>
      </c>
      <c r="N23" s="8">
        <f t="shared" si="17"/>
        <v>0.107269287109375</v>
      </c>
      <c r="O23" s="8">
        <f t="shared" si="18"/>
        <v>0.16732978820800781</v>
      </c>
      <c r="P23" s="8">
        <f t="shared" si="19"/>
        <v>0.28696823120117188</v>
      </c>
      <c r="Q23" s="8">
        <f t="shared" si="20"/>
        <v>0.5252838134765625</v>
      </c>
      <c r="R23" s="167">
        <f t="shared" si="21"/>
        <v>1</v>
      </c>
      <c r="T23">
        <f t="shared" si="22"/>
        <v>19</v>
      </c>
      <c r="U23" s="148">
        <f t="shared" si="23"/>
        <v>0.23687744140625</v>
      </c>
      <c r="V23" s="276">
        <f t="shared" si="24"/>
        <v>0.2628631591796875</v>
      </c>
      <c r="W23" s="276">
        <f t="shared" si="25"/>
        <v>0.3139495849609375</v>
      </c>
      <c r="X23" s="276">
        <f t="shared" si="26"/>
        <v>0.4143829345703125</v>
      </c>
      <c r="Y23" s="276">
        <f t="shared" si="27"/>
        <v>0.61182975769042969</v>
      </c>
      <c r="Z23" s="153">
        <f t="shared" si="28"/>
        <v>1</v>
      </c>
    </row>
    <row r="24" spans="1:26" x14ac:dyDescent="0.25">
      <c r="A24">
        <v>20</v>
      </c>
      <c r="B24" s="148">
        <f t="shared" si="6"/>
        <v>0.12231540679931641</v>
      </c>
      <c r="C24" s="276">
        <f t="shared" si="7"/>
        <v>0.13672447204589844</v>
      </c>
      <c r="D24" s="276">
        <f t="shared" si="8"/>
        <v>0.16530609130859375</v>
      </c>
      <c r="E24" s="276">
        <f t="shared" si="9"/>
        <v>0.2220001220703125</v>
      </c>
      <c r="F24" s="276">
        <f t="shared" si="10"/>
        <v>0.3344573974609375</v>
      </c>
      <c r="G24" s="276">
        <f t="shared" si="11"/>
        <v>0.557525634765625</v>
      </c>
      <c r="H24" s="153">
        <f t="shared" si="12"/>
        <v>1</v>
      </c>
      <c r="J24">
        <v>20</v>
      </c>
      <c r="K24" s="148">
        <f t="shared" ref="K24:Q24" si="29">0.5*L23+0.5*$K23</f>
        <v>5.81817626953125E-2</v>
      </c>
      <c r="L24" s="276">
        <f t="shared" si="29"/>
        <v>6.57501220703125E-2</v>
      </c>
      <c r="M24" s="276">
        <f t="shared" si="29"/>
        <v>8.08258056640625E-2</v>
      </c>
      <c r="N24" s="276">
        <f t="shared" si="29"/>
        <v>0.11085605621337891</v>
      </c>
      <c r="O24" s="276">
        <f t="shared" si="29"/>
        <v>0.17067527770996094</v>
      </c>
      <c r="P24" s="276">
        <f t="shared" si="29"/>
        <v>0.28983306884765625</v>
      </c>
      <c r="Q24" s="276">
        <f t="shared" si="29"/>
        <v>0.527191162109375</v>
      </c>
      <c r="R24" s="153">
        <f t="shared" si="21"/>
        <v>1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7"/>
  <dimension ref="A1:Q35"/>
  <sheetViews>
    <sheetView workbookViewId="0">
      <selection activeCell="G3" sqref="G3"/>
    </sheetView>
  </sheetViews>
  <sheetFormatPr defaultRowHeight="15" x14ac:dyDescent="0.25"/>
  <cols>
    <col min="2" max="2" width="9.140625" customWidth="1"/>
    <col min="13" max="13" width="6.28515625" customWidth="1"/>
  </cols>
  <sheetData>
    <row r="1" spans="1:15" x14ac:dyDescent="0.25">
      <c r="A1" s="1" t="s">
        <v>1043</v>
      </c>
    </row>
    <row r="2" spans="1:15" x14ac:dyDescent="0.25">
      <c r="A2" s="1"/>
    </row>
    <row r="3" spans="1:15" x14ac:dyDescent="0.25">
      <c r="A3" s="24" t="s">
        <v>1044</v>
      </c>
      <c r="N3" t="s">
        <v>1048</v>
      </c>
    </row>
    <row r="5" spans="1:15" x14ac:dyDescent="0.25">
      <c r="A5" t="s">
        <v>250</v>
      </c>
      <c r="B5" s="315">
        <v>0.35</v>
      </c>
      <c r="N5" t="s">
        <v>250</v>
      </c>
      <c r="O5" s="315">
        <v>0.35</v>
      </c>
    </row>
    <row r="6" spans="1:15" x14ac:dyDescent="0.25">
      <c r="A6" t="s">
        <v>105</v>
      </c>
      <c r="B6" s="163">
        <v>24</v>
      </c>
      <c r="N6" t="s">
        <v>105</v>
      </c>
      <c r="O6" s="163">
        <v>24</v>
      </c>
    </row>
    <row r="7" spans="1:15" x14ac:dyDescent="0.25">
      <c r="A7" s="53" t="s">
        <v>28</v>
      </c>
      <c r="B7" s="163">
        <v>13</v>
      </c>
      <c r="N7" s="53" t="s">
        <v>140</v>
      </c>
      <c r="O7" s="163">
        <v>0.05</v>
      </c>
    </row>
    <row r="8" spans="1:15" x14ac:dyDescent="0.25">
      <c r="A8" s="53" t="s">
        <v>182</v>
      </c>
      <c r="B8" s="155">
        <f>1-BINOMDIST(B7,B6,B5,TRUE)</f>
        <v>1.6418510867853287E-2</v>
      </c>
      <c r="N8" s="53" t="s">
        <v>521</v>
      </c>
      <c r="O8" s="155">
        <f>CRITBINOM(O6,O5,1-O7)</f>
        <v>12</v>
      </c>
    </row>
    <row r="10" spans="1:15" x14ac:dyDescent="0.25">
      <c r="A10" s="19" t="s">
        <v>28</v>
      </c>
      <c r="B10" s="343" t="s">
        <v>29</v>
      </c>
      <c r="C10" s="343" t="s">
        <v>30</v>
      </c>
      <c r="M10" s="343" t="s">
        <v>250</v>
      </c>
      <c r="N10" s="107" t="s">
        <v>528</v>
      </c>
      <c r="O10" s="321" t="s">
        <v>843</v>
      </c>
    </row>
    <row r="11" spans="1:15" x14ac:dyDescent="0.25">
      <c r="A11">
        <v>0</v>
      </c>
      <c r="B11" s="4">
        <f t="shared" ref="B11:B31" si="0">BINOMDIST(A11,$B$6,$B$5,FALSE)</f>
        <v>3.2353447101972727E-5</v>
      </c>
      <c r="C11" s="6">
        <f>B11</f>
        <v>3.2353447101972727E-5</v>
      </c>
      <c r="M11" s="385">
        <v>0.35</v>
      </c>
      <c r="N11" s="4">
        <f t="shared" ref="N11:N22" si="1">BINOMDIST($O$8,$O$6,M11,TRUE)</f>
        <v>0.95774692520109506</v>
      </c>
      <c r="O11" s="6">
        <f t="shared" ref="O11:O22" si="2">1-N11</f>
        <v>4.2253074798904944E-2</v>
      </c>
    </row>
    <row r="12" spans="1:15" x14ac:dyDescent="0.25">
      <c r="A12">
        <f>A11+1</f>
        <v>1</v>
      </c>
      <c r="B12" s="166">
        <f t="shared" si="0"/>
        <v>4.1810608562549434E-4</v>
      </c>
      <c r="C12" s="167">
        <f>B12+C11</f>
        <v>4.5045953272746707E-4</v>
      </c>
      <c r="M12" s="385">
        <f t="shared" ref="M12:M22" si="3">M11+0.05</f>
        <v>0.39999999999999997</v>
      </c>
      <c r="N12" s="166">
        <f t="shared" si="1"/>
        <v>0.88573491768075618</v>
      </c>
      <c r="O12" s="167">
        <f t="shared" si="2"/>
        <v>0.11426508231924382</v>
      </c>
    </row>
    <row r="13" spans="1:15" x14ac:dyDescent="0.25">
      <c r="A13">
        <f t="shared" ref="A13:A31" si="4">A12+1</f>
        <v>2</v>
      </c>
      <c r="B13" s="166">
        <f t="shared" si="0"/>
        <v>2.5890415302194068E-3</v>
      </c>
      <c r="C13" s="167">
        <f t="shared" ref="C13:C31" si="5">B13+C12</f>
        <v>3.0395010629468739E-3</v>
      </c>
      <c r="M13" s="385">
        <f t="shared" si="3"/>
        <v>0.44999999999999996</v>
      </c>
      <c r="N13" s="166">
        <f t="shared" si="1"/>
        <v>0.75796651803436921</v>
      </c>
      <c r="O13" s="167">
        <f t="shared" si="2"/>
        <v>0.24203348196563079</v>
      </c>
    </row>
    <row r="14" spans="1:15" x14ac:dyDescent="0.25">
      <c r="A14">
        <f t="shared" si="4"/>
        <v>3</v>
      </c>
      <c r="B14" s="166">
        <f t="shared" si="0"/>
        <v>1.0223394760353558E-2</v>
      </c>
      <c r="C14" s="167">
        <f t="shared" si="5"/>
        <v>1.3262895823300432E-2</v>
      </c>
      <c r="M14" s="385">
        <f t="shared" si="3"/>
        <v>0.49999999999999994</v>
      </c>
      <c r="N14" s="166">
        <f t="shared" si="1"/>
        <v>0.58059012889862038</v>
      </c>
      <c r="O14" s="167">
        <f t="shared" si="2"/>
        <v>0.41940987110137962</v>
      </c>
    </row>
    <row r="15" spans="1:15" x14ac:dyDescent="0.25">
      <c r="A15">
        <f t="shared" si="4"/>
        <v>4</v>
      </c>
      <c r="B15" s="166">
        <f t="shared" si="0"/>
        <v>2.8900750572537902E-2</v>
      </c>
      <c r="C15" s="167">
        <f t="shared" si="5"/>
        <v>4.2163646395838333E-2</v>
      </c>
      <c r="M15" s="385">
        <f t="shared" si="3"/>
        <v>0.54999999999999993</v>
      </c>
      <c r="N15" s="166">
        <f t="shared" si="1"/>
        <v>0.38490122409641137</v>
      </c>
      <c r="O15" s="167">
        <f t="shared" si="2"/>
        <v>0.61509877590358863</v>
      </c>
    </row>
    <row r="16" spans="1:15" x14ac:dyDescent="0.25">
      <c r="A16">
        <f t="shared" si="4"/>
        <v>5</v>
      </c>
      <c r="B16" s="166">
        <f t="shared" si="0"/>
        <v>6.2247770463927883E-2</v>
      </c>
      <c r="C16" s="167">
        <f t="shared" si="5"/>
        <v>0.10441141685976621</v>
      </c>
      <c r="M16" s="385">
        <f t="shared" si="3"/>
        <v>0.6</v>
      </c>
      <c r="N16" s="166">
        <f t="shared" si="1"/>
        <v>0.21302179896054116</v>
      </c>
      <c r="O16" s="167">
        <f t="shared" si="2"/>
        <v>0.78697820103945881</v>
      </c>
    </row>
    <row r="17" spans="1:17" x14ac:dyDescent="0.25">
      <c r="A17">
        <f t="shared" si="4"/>
        <v>6</v>
      </c>
      <c r="B17" s="166">
        <f t="shared" si="0"/>
        <v>0.10614042912438973</v>
      </c>
      <c r="C17" s="167">
        <f t="shared" si="5"/>
        <v>0.21055184598415594</v>
      </c>
      <c r="M17" s="385">
        <f t="shared" si="3"/>
        <v>0.65</v>
      </c>
      <c r="N17" s="166">
        <f>BINOMDIST($O$8,$O$6,M17,TRUE)</f>
        <v>9.4229756993520764E-2</v>
      </c>
      <c r="O17" s="167">
        <f t="shared" si="2"/>
        <v>0.90577024300647924</v>
      </c>
    </row>
    <row r="18" spans="1:17" x14ac:dyDescent="0.25">
      <c r="A18">
        <f t="shared" si="4"/>
        <v>7</v>
      </c>
      <c r="B18" s="166">
        <f t="shared" si="0"/>
        <v>0.14696367109530883</v>
      </c>
      <c r="C18" s="167">
        <f t="shared" si="5"/>
        <v>0.35751551707946477</v>
      </c>
      <c r="M18" s="385">
        <f t="shared" si="3"/>
        <v>0.70000000000000007</v>
      </c>
      <c r="N18" s="166">
        <f t="shared" si="1"/>
        <v>3.1393654095974582E-2</v>
      </c>
      <c r="O18" s="167">
        <f t="shared" si="2"/>
        <v>0.96860634590402539</v>
      </c>
    </row>
    <row r="19" spans="1:17" x14ac:dyDescent="0.25">
      <c r="A19">
        <f t="shared" si="4"/>
        <v>8</v>
      </c>
      <c r="B19" s="166">
        <f t="shared" si="0"/>
        <v>0.16816035442636298</v>
      </c>
      <c r="C19" s="167">
        <f t="shared" si="5"/>
        <v>0.52567587150582773</v>
      </c>
      <c r="M19" s="385">
        <f t="shared" si="3"/>
        <v>0.75000000000000011</v>
      </c>
      <c r="N19" s="166">
        <f t="shared" si="1"/>
        <v>7.1996500078554794E-3</v>
      </c>
      <c r="O19" s="167">
        <f t="shared" si="2"/>
        <v>0.9928003499921445</v>
      </c>
    </row>
    <row r="20" spans="1:17" x14ac:dyDescent="0.25">
      <c r="A20">
        <f t="shared" si="4"/>
        <v>9</v>
      </c>
      <c r="B20" s="166">
        <f t="shared" si="0"/>
        <v>0.16097401449361234</v>
      </c>
      <c r="C20" s="167">
        <f t="shared" si="5"/>
        <v>0.6866498859994401</v>
      </c>
      <c r="M20" s="385">
        <f t="shared" si="3"/>
        <v>0.80000000000000016</v>
      </c>
      <c r="N20" s="166">
        <f t="shared" si="1"/>
        <v>9.779698322534044E-4</v>
      </c>
      <c r="O20" s="167">
        <f t="shared" si="2"/>
        <v>0.9990220301677466</v>
      </c>
    </row>
    <row r="21" spans="1:17" x14ac:dyDescent="0.25">
      <c r="A21">
        <f t="shared" si="4"/>
        <v>10</v>
      </c>
      <c r="B21" s="166">
        <f t="shared" si="0"/>
        <v>0.13001747324484075</v>
      </c>
      <c r="C21" s="167">
        <f t="shared" si="5"/>
        <v>0.8166673592442808</v>
      </c>
      <c r="M21" s="385">
        <f t="shared" si="3"/>
        <v>0.8500000000000002</v>
      </c>
      <c r="N21" s="166">
        <f t="shared" si="1"/>
        <v>5.9309792674177169E-5</v>
      </c>
      <c r="O21" s="167">
        <f t="shared" si="2"/>
        <v>0.99994069020732579</v>
      </c>
    </row>
    <row r="22" spans="1:17" x14ac:dyDescent="0.25">
      <c r="A22">
        <f t="shared" si="4"/>
        <v>11</v>
      </c>
      <c r="B22" s="166">
        <f t="shared" si="0"/>
        <v>8.910288376219852E-2</v>
      </c>
      <c r="C22" s="167">
        <f t="shared" si="5"/>
        <v>0.90577024300647935</v>
      </c>
      <c r="M22" s="385">
        <f t="shared" si="3"/>
        <v>0.90000000000000024</v>
      </c>
      <c r="N22" s="148">
        <f t="shared" si="1"/>
        <v>8.4944358910566843E-7</v>
      </c>
      <c r="O22" s="153">
        <f t="shared" si="2"/>
        <v>0.99999915055641087</v>
      </c>
    </row>
    <row r="23" spans="1:17" x14ac:dyDescent="0.25">
      <c r="A23">
        <f t="shared" si="4"/>
        <v>12</v>
      </c>
      <c r="B23" s="166">
        <f t="shared" si="0"/>
        <v>5.1976682194615778E-2</v>
      </c>
      <c r="C23" s="279">
        <f t="shared" si="5"/>
        <v>0.95774692520109517</v>
      </c>
    </row>
    <row r="24" spans="1:17" x14ac:dyDescent="0.25">
      <c r="A24">
        <f t="shared" si="4"/>
        <v>13</v>
      </c>
      <c r="B24" s="166">
        <f t="shared" si="0"/>
        <v>2.5834563931051636E-2</v>
      </c>
      <c r="C24" s="167">
        <f t="shared" si="5"/>
        <v>0.98358148913214682</v>
      </c>
      <c r="M24" s="388">
        <f>13/24</f>
        <v>0.54166666666666663</v>
      </c>
      <c r="O24" s="205" t="e">
        <f ca="1">BINOM_POWER(O5,M24,O6,1,O7)</f>
        <v>#NAME?</v>
      </c>
      <c r="Q24" t="e">
        <f ca="1">FTEXT(O24)</f>
        <v>#NAME?</v>
      </c>
    </row>
    <row r="25" spans="1:17" x14ac:dyDescent="0.25">
      <c r="A25">
        <f t="shared" si="4"/>
        <v>14</v>
      </c>
      <c r="B25" s="166">
        <f t="shared" si="0"/>
        <v>1.0930007816983389E-2</v>
      </c>
      <c r="C25" s="167">
        <f t="shared" si="5"/>
        <v>0.99451149694913021</v>
      </c>
    </row>
    <row r="26" spans="1:17" x14ac:dyDescent="0.25">
      <c r="A26">
        <f t="shared" si="4"/>
        <v>15</v>
      </c>
      <c r="B26" s="166">
        <f t="shared" si="0"/>
        <v>3.9235925496863416E-3</v>
      </c>
      <c r="C26" s="167">
        <f t="shared" si="5"/>
        <v>0.99843508949881654</v>
      </c>
    </row>
    <row r="27" spans="1:17" x14ac:dyDescent="0.25">
      <c r="A27">
        <f t="shared" si="4"/>
        <v>16</v>
      </c>
      <c r="B27" s="166">
        <f t="shared" si="0"/>
        <v>1.1883958203376906E-3</v>
      </c>
      <c r="C27" s="167">
        <f t="shared" si="5"/>
        <v>0.99962348531915424</v>
      </c>
    </row>
    <row r="28" spans="1:17" x14ac:dyDescent="0.25">
      <c r="A28">
        <f t="shared" si="4"/>
        <v>17</v>
      </c>
      <c r="B28" s="166">
        <f t="shared" si="0"/>
        <v>3.0113197257425589E-4</v>
      </c>
      <c r="C28" s="167">
        <f t="shared" si="5"/>
        <v>0.99992461729172855</v>
      </c>
    </row>
    <row r="29" spans="1:17" x14ac:dyDescent="0.25">
      <c r="A29">
        <f t="shared" si="4"/>
        <v>18</v>
      </c>
      <c r="B29" s="166">
        <f t="shared" si="0"/>
        <v>6.3057549812557776E-5</v>
      </c>
      <c r="C29" s="167">
        <f t="shared" si="5"/>
        <v>0.99998767484154105</v>
      </c>
    </row>
    <row r="30" spans="1:17" x14ac:dyDescent="0.25">
      <c r="A30">
        <f t="shared" si="4"/>
        <v>19</v>
      </c>
      <c r="B30" s="166">
        <f t="shared" si="0"/>
        <v>1.0722336405374225E-5</v>
      </c>
      <c r="C30" s="167">
        <f t="shared" si="5"/>
        <v>0.99999839717794647</v>
      </c>
    </row>
    <row r="31" spans="1:17" x14ac:dyDescent="0.25">
      <c r="A31">
        <f t="shared" si="4"/>
        <v>20</v>
      </c>
      <c r="B31" s="166">
        <f t="shared" si="0"/>
        <v>1.4433914391849863E-6</v>
      </c>
      <c r="C31" s="167">
        <f t="shared" si="5"/>
        <v>0.99999984056938562</v>
      </c>
    </row>
    <row r="32" spans="1:17" x14ac:dyDescent="0.25">
      <c r="A32">
        <f>A31+1</f>
        <v>21</v>
      </c>
      <c r="B32" s="166">
        <f>BINOMDIST(A32,$B$6,$B$5,FALSE)</f>
        <v>1.4804014760871705E-7</v>
      </c>
      <c r="C32" s="167">
        <f>B32+C31</f>
        <v>0.99999998860953321</v>
      </c>
    </row>
    <row r="33" spans="1:3" x14ac:dyDescent="0.25">
      <c r="A33">
        <f>A32+1</f>
        <v>22</v>
      </c>
      <c r="B33" s="166">
        <f>BINOMDIST(A33,$B$6,$B$5,FALSE)</f>
        <v>1.0870080768472236E-8</v>
      </c>
      <c r="C33" s="167">
        <f>B33+C32</f>
        <v>0.99999999947961393</v>
      </c>
    </row>
    <row r="34" spans="1:3" x14ac:dyDescent="0.25">
      <c r="A34">
        <f>A33+1</f>
        <v>23</v>
      </c>
      <c r="B34" s="166">
        <f>BINOMDIST(A34,$B$6,$B$5,FALSE)</f>
        <v>5.0896699250371378E-10</v>
      </c>
      <c r="C34" s="167">
        <f>B34+C33</f>
        <v>0.99999999998858091</v>
      </c>
    </row>
    <row r="35" spans="1:3" x14ac:dyDescent="0.25">
      <c r="A35">
        <f>A34+1</f>
        <v>24</v>
      </c>
      <c r="B35" s="148">
        <f>BINOMDIST(A35,$B$6,$B$5,FALSE)</f>
        <v>1.1419131242070537E-11</v>
      </c>
      <c r="C35" s="153">
        <f>B35+C34</f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8"/>
  <dimension ref="A1:E25"/>
  <sheetViews>
    <sheetView workbookViewId="0"/>
  </sheetViews>
  <sheetFormatPr defaultRowHeight="15" x14ac:dyDescent="0.25"/>
  <cols>
    <col min="1" max="1" width="6.42578125" customWidth="1"/>
  </cols>
  <sheetData>
    <row r="1" spans="1:3" x14ac:dyDescent="0.25">
      <c r="A1" s="1" t="s">
        <v>1043</v>
      </c>
    </row>
    <row r="3" spans="1:3" x14ac:dyDescent="0.25">
      <c r="B3" t="s">
        <v>1051</v>
      </c>
    </row>
    <row r="5" spans="1:3" x14ac:dyDescent="0.25">
      <c r="B5" t="s">
        <v>250</v>
      </c>
      <c r="C5" s="315">
        <v>0.35</v>
      </c>
    </row>
    <row r="6" spans="1:3" x14ac:dyDescent="0.25">
      <c r="B6" t="s">
        <v>105</v>
      </c>
      <c r="C6" s="163">
        <v>24</v>
      </c>
    </row>
    <row r="7" spans="1:3" x14ac:dyDescent="0.25">
      <c r="B7" s="53" t="s">
        <v>140</v>
      </c>
      <c r="C7" s="163">
        <v>0.05</v>
      </c>
    </row>
    <row r="8" spans="1:3" x14ac:dyDescent="0.25">
      <c r="B8" s="386" t="s">
        <v>1052</v>
      </c>
      <c r="C8" s="163">
        <f>CRITBINOM(C6,C5,C7/2)</f>
        <v>4</v>
      </c>
    </row>
    <row r="9" spans="1:3" x14ac:dyDescent="0.25">
      <c r="B9" s="387" t="s">
        <v>1053</v>
      </c>
      <c r="C9" s="155">
        <f>CRITBINOM(C6,C5,1-C7/2)</f>
        <v>13</v>
      </c>
    </row>
    <row r="11" spans="1:3" x14ac:dyDescent="0.25">
      <c r="A11" s="343" t="s">
        <v>250</v>
      </c>
      <c r="B11" s="107" t="s">
        <v>528</v>
      </c>
      <c r="C11" s="321" t="s">
        <v>843</v>
      </c>
    </row>
    <row r="12" spans="1:3" x14ac:dyDescent="0.25">
      <c r="A12" s="385">
        <v>0.35</v>
      </c>
      <c r="B12" s="316">
        <f>BINOMDIST($C$9,$C$6,A12,TRUE)-BINOMDIST($C$8-1,$C$6,A12,TRUE)</f>
        <v>0.97031859330884629</v>
      </c>
      <c r="C12" s="317">
        <f t="shared" ref="C12:C23" si="0">1-B12</f>
        <v>2.9681406691153711E-2</v>
      </c>
    </row>
    <row r="13" spans="1:3" x14ac:dyDescent="0.25">
      <c r="A13" s="385">
        <f t="shared" ref="A13:A23" si="1">A12+0.05</f>
        <v>0.39999999999999997</v>
      </c>
      <c r="B13" s="166">
        <f t="shared" ref="B13:B23" si="2">BINOMDIST($C$9,$C$6,A13,TRUE)-BINOMDIST($C$8-1,$C$6,A13,TRUE)</f>
        <v>0.94300486300263708</v>
      </c>
      <c r="C13" s="167">
        <f t="shared" si="0"/>
        <v>5.6995136997362916E-2</v>
      </c>
    </row>
    <row r="14" spans="1:3" x14ac:dyDescent="0.25">
      <c r="A14" s="385">
        <f t="shared" si="1"/>
        <v>0.44999999999999996</v>
      </c>
      <c r="B14" s="166">
        <f t="shared" si="2"/>
        <v>0.86509521921231303</v>
      </c>
      <c r="C14" s="167">
        <f t="shared" si="0"/>
        <v>0.13490478078768697</v>
      </c>
    </row>
    <row r="15" spans="1:3" x14ac:dyDescent="0.25">
      <c r="A15" s="385">
        <f t="shared" si="1"/>
        <v>0.49999999999999994</v>
      </c>
      <c r="B15" s="166">
        <f t="shared" si="2"/>
        <v>0.72923332452774037</v>
      </c>
      <c r="C15" s="167">
        <f t="shared" si="0"/>
        <v>0.27076667547225963</v>
      </c>
    </row>
    <row r="16" spans="1:3" x14ac:dyDescent="0.25">
      <c r="A16" s="385">
        <f t="shared" si="1"/>
        <v>0.54999999999999993</v>
      </c>
      <c r="B16" s="166">
        <f t="shared" si="2"/>
        <v>0.54606566938334167</v>
      </c>
      <c r="C16" s="167">
        <f t="shared" si="0"/>
        <v>0.45393433061665833</v>
      </c>
    </row>
    <row r="17" spans="1:5" x14ac:dyDescent="0.25">
      <c r="A17" s="385">
        <f t="shared" si="1"/>
        <v>0.6</v>
      </c>
      <c r="B17" s="166">
        <f t="shared" si="2"/>
        <v>0.34975976019008298</v>
      </c>
      <c r="C17" s="167">
        <f t="shared" si="0"/>
        <v>0.65024023980991696</v>
      </c>
    </row>
    <row r="18" spans="1:5" x14ac:dyDescent="0.25">
      <c r="A18" s="385">
        <f t="shared" si="1"/>
        <v>0.65</v>
      </c>
      <c r="B18" s="166">
        <f t="shared" si="2"/>
        <v>0.1833324813251046</v>
      </c>
      <c r="C18" s="167">
        <f t="shared" si="0"/>
        <v>0.8166675186748954</v>
      </c>
    </row>
    <row r="19" spans="1:5" x14ac:dyDescent="0.25">
      <c r="A19" s="385">
        <f t="shared" si="1"/>
        <v>0.70000000000000007</v>
      </c>
      <c r="B19" s="166">
        <f t="shared" si="2"/>
        <v>7.4236457377926307E-2</v>
      </c>
      <c r="C19" s="167">
        <f t="shared" si="0"/>
        <v>0.92576354262207372</v>
      </c>
    </row>
    <row r="20" spans="1:5" x14ac:dyDescent="0.25">
      <c r="A20" s="385">
        <f t="shared" si="1"/>
        <v>0.75000000000000011</v>
      </c>
      <c r="B20" s="166">
        <f t="shared" si="2"/>
        <v>2.1338241579346783E-2</v>
      </c>
      <c r="C20" s="167">
        <f t="shared" si="0"/>
        <v>0.97866175842065317</v>
      </c>
    </row>
    <row r="21" spans="1:5" x14ac:dyDescent="0.25">
      <c r="A21" s="385">
        <f t="shared" si="1"/>
        <v>0.80000000000000016</v>
      </c>
      <c r="B21" s="166">
        <f t="shared" si="2"/>
        <v>3.7883781270701988E-3</v>
      </c>
      <c r="C21" s="167">
        <f t="shared" si="0"/>
        <v>0.99621162187292978</v>
      </c>
    </row>
    <row r="22" spans="1:5" x14ac:dyDescent="0.25">
      <c r="A22" s="385">
        <f t="shared" si="1"/>
        <v>0.8500000000000002</v>
      </c>
      <c r="B22" s="166">
        <f t="shared" si="2"/>
        <v>3.2035728138071756E-4</v>
      </c>
      <c r="C22" s="167">
        <f t="shared" si="0"/>
        <v>0.99967964271861931</v>
      </c>
    </row>
    <row r="23" spans="1:5" x14ac:dyDescent="0.25">
      <c r="A23" s="385">
        <f t="shared" si="1"/>
        <v>0.90000000000000024</v>
      </c>
      <c r="B23" s="148">
        <f t="shared" si="2"/>
        <v>7.1943067252924792E-6</v>
      </c>
      <c r="C23" s="153">
        <f t="shared" si="0"/>
        <v>0.99999280569327476</v>
      </c>
    </row>
    <row r="25" spans="1:5" x14ac:dyDescent="0.25">
      <c r="A25" s="388">
        <f>13/24</f>
        <v>0.54166666666666663</v>
      </c>
      <c r="C25" s="205" t="e">
        <f ca="1">BINOM_POWER(C5,A25,C6,2,C7)</f>
        <v>#NAME?</v>
      </c>
      <c r="E25" t="e">
        <f ca="1">FTEXT(C25)</f>
        <v>#NAME?</v>
      </c>
    </row>
  </sheetData>
  <pageMargins left="0.7" right="0.7" top="0.75" bottom="0.75" header="0.3" footer="0.3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2"/>
  <dimension ref="A1:N17"/>
  <sheetViews>
    <sheetView workbookViewId="0"/>
  </sheetViews>
  <sheetFormatPr defaultRowHeight="15" x14ac:dyDescent="0.25"/>
  <cols>
    <col min="2" max="2" width="9.140625" customWidth="1"/>
    <col min="3" max="3" width="3.5703125" customWidth="1"/>
    <col min="4" max="4" width="33.7109375" customWidth="1"/>
    <col min="8" max="8" width="4" customWidth="1"/>
    <col min="9" max="9" width="29.28515625" customWidth="1"/>
    <col min="13" max="13" width="4" customWidth="1"/>
    <col min="14" max="14" width="29.28515625" customWidth="1"/>
  </cols>
  <sheetData>
    <row r="1" spans="1:14" x14ac:dyDescent="0.25">
      <c r="A1" s="1" t="s">
        <v>1086</v>
      </c>
    </row>
    <row r="3" spans="1:14" x14ac:dyDescent="0.25">
      <c r="A3" t="s">
        <v>1087</v>
      </c>
      <c r="B3" s="399">
        <v>0.35</v>
      </c>
      <c r="F3" t="s">
        <v>1087</v>
      </c>
      <c r="G3" s="399">
        <v>0.35</v>
      </c>
      <c r="K3" t="s">
        <v>1087</v>
      </c>
      <c r="L3" s="399">
        <v>0.35</v>
      </c>
    </row>
    <row r="4" spans="1:14" x14ac:dyDescent="0.25">
      <c r="A4" t="s">
        <v>440</v>
      </c>
      <c r="B4" s="400">
        <v>0.8</v>
      </c>
      <c r="F4" t="s">
        <v>440</v>
      </c>
      <c r="G4" s="400">
        <v>0.8</v>
      </c>
      <c r="K4" t="s">
        <v>440</v>
      </c>
      <c r="L4" s="400">
        <v>0.8</v>
      </c>
    </row>
    <row r="5" spans="1:14" x14ac:dyDescent="0.25">
      <c r="A5" s="53" t="s">
        <v>262</v>
      </c>
      <c r="B5" s="400">
        <v>0.01</v>
      </c>
      <c r="F5" s="53" t="s">
        <v>262</v>
      </c>
      <c r="G5" s="400">
        <v>0.01</v>
      </c>
      <c r="K5" s="53" t="s">
        <v>262</v>
      </c>
      <c r="L5" s="400">
        <v>0.01</v>
      </c>
    </row>
    <row r="6" spans="1:14" x14ac:dyDescent="0.25">
      <c r="A6" t="s">
        <v>276</v>
      </c>
      <c r="B6" s="400">
        <f>CRITBINOM(B7,B3,1-B5)</f>
        <v>0</v>
      </c>
      <c r="D6" s="22" t="s">
        <v>1088</v>
      </c>
      <c r="F6" t="s">
        <v>276</v>
      </c>
      <c r="G6" s="400">
        <f>CRITBINOM(G7,G3,1-G5)</f>
        <v>10</v>
      </c>
      <c r="I6" s="22" t="s">
        <v>1092</v>
      </c>
      <c r="K6" t="s">
        <v>276</v>
      </c>
      <c r="L6" s="400">
        <f>CRITBINOM(L7,L3,1-L5)</f>
        <v>10</v>
      </c>
      <c r="N6" s="22" t="s">
        <v>1094</v>
      </c>
    </row>
    <row r="7" spans="1:14" x14ac:dyDescent="0.25">
      <c r="A7" t="s">
        <v>105</v>
      </c>
      <c r="B7" s="402"/>
      <c r="F7" t="s">
        <v>105</v>
      </c>
      <c r="G7" s="402">
        <v>16.030061346032447</v>
      </c>
      <c r="I7" s="22"/>
      <c r="K7" t="s">
        <v>105</v>
      </c>
      <c r="L7" s="402">
        <v>16</v>
      </c>
    </row>
    <row r="8" spans="1:14" x14ac:dyDescent="0.25">
      <c r="A8" s="53" t="s">
        <v>843</v>
      </c>
      <c r="B8" s="401">
        <f>1-BINOMDIST(B6,B7,B4,TRUE)</f>
        <v>0</v>
      </c>
      <c r="D8" s="403" t="s">
        <v>1089</v>
      </c>
      <c r="F8" s="53" t="s">
        <v>843</v>
      </c>
      <c r="G8" s="401">
        <f>1-BINOMDIST(G6,G7,G4,TRUE)</f>
        <v>0.91831211151851522</v>
      </c>
      <c r="I8" s="22" t="s">
        <v>1093</v>
      </c>
      <c r="K8" s="53" t="s">
        <v>843</v>
      </c>
      <c r="L8" s="401">
        <f>1-BINOMDIST(L6,L7,L4,TRUE)</f>
        <v>0.91831211151851522</v>
      </c>
      <c r="N8" s="403" t="s">
        <v>1095</v>
      </c>
    </row>
    <row r="9" spans="1:14" x14ac:dyDescent="0.25">
      <c r="B9" s="21"/>
    </row>
    <row r="11" spans="1:14" x14ac:dyDescent="0.25">
      <c r="A11" t="s">
        <v>754</v>
      </c>
    </row>
    <row r="13" spans="1:14" x14ac:dyDescent="0.25">
      <c r="A13" t="s">
        <v>510</v>
      </c>
      <c r="B13" t="e">
        <f ca="1">BINOM_SIZE(0.35,0.8,0.9,1,0.01)</f>
        <v>#NAME?</v>
      </c>
      <c r="D13" t="e">
        <f ca="1">FTEXT(B13)</f>
        <v>#NAME?</v>
      </c>
    </row>
    <row r="14" spans="1:14" x14ac:dyDescent="0.25">
      <c r="A14" t="s">
        <v>511</v>
      </c>
      <c r="B14" t="e">
        <f ca="1">BINOM_SIZE(0.35,0.8,0.9,2,0.01)</f>
        <v>#NAME?</v>
      </c>
      <c r="D14" t="e">
        <f ca="1">FTEXT(B14)</f>
        <v>#NAME?</v>
      </c>
    </row>
    <row r="16" spans="1:14" x14ac:dyDescent="0.25">
      <c r="A16" t="s">
        <v>510</v>
      </c>
      <c r="B16" t="e">
        <f ca="1">BINOM_POWER(0.35,0.8,B13,1,0.01)</f>
        <v>#NAME?</v>
      </c>
      <c r="D16" s="22" t="s">
        <v>1090</v>
      </c>
    </row>
    <row r="17" spans="1:4" x14ac:dyDescent="0.25">
      <c r="A17" t="s">
        <v>511</v>
      </c>
      <c r="B17" t="e">
        <f ca="1">BINOM_POWER(0.35,0.8,B14,2,0.01)</f>
        <v>#NAME?</v>
      </c>
      <c r="D17" s="22" t="s">
        <v>1091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8"/>
  <sheetViews>
    <sheetView workbookViewId="0"/>
  </sheetViews>
  <sheetFormatPr defaultRowHeight="15" x14ac:dyDescent="0.25"/>
  <cols>
    <col min="1" max="1" width="12" customWidth="1"/>
    <col min="2" max="2" width="11" customWidth="1"/>
    <col min="4" max="4" width="11.140625" customWidth="1"/>
  </cols>
  <sheetData>
    <row r="1" spans="1:9" x14ac:dyDescent="0.25">
      <c r="A1" s="1" t="s">
        <v>24</v>
      </c>
    </row>
    <row r="3" spans="1:9" x14ac:dyDescent="0.25">
      <c r="A3" s="19" t="s">
        <v>25</v>
      </c>
      <c r="B3" s="19" t="s">
        <v>26</v>
      </c>
      <c r="D3" t="str">
        <f t="array" ref="D3:I4">TRANSPOSE(A3:B8)</f>
        <v>Area Code</v>
      </c>
      <c r="E3">
        <v>345</v>
      </c>
      <c r="F3">
        <v>378</v>
      </c>
      <c r="G3">
        <v>678</v>
      </c>
      <c r="H3">
        <v>712</v>
      </c>
      <c r="I3">
        <v>815</v>
      </c>
    </row>
    <row r="4" spans="1:9" x14ac:dyDescent="0.25">
      <c r="A4">
        <v>345</v>
      </c>
      <c r="B4">
        <v>230000</v>
      </c>
      <c r="D4" t="str">
        <v>Population</v>
      </c>
      <c r="E4">
        <v>230000</v>
      </c>
      <c r="F4">
        <v>340000</v>
      </c>
      <c r="G4">
        <v>145000</v>
      </c>
      <c r="H4">
        <v>235900</v>
      </c>
      <c r="I4">
        <v>195000</v>
      </c>
    </row>
    <row r="5" spans="1:9" x14ac:dyDescent="0.25">
      <c r="A5">
        <v>378</v>
      </c>
      <c r="B5">
        <v>340000</v>
      </c>
    </row>
    <row r="6" spans="1:9" x14ac:dyDescent="0.25">
      <c r="A6">
        <v>678</v>
      </c>
      <c r="B6">
        <v>145000</v>
      </c>
    </row>
    <row r="7" spans="1:9" x14ac:dyDescent="0.25">
      <c r="A7">
        <v>712</v>
      </c>
      <c r="B7">
        <v>235900</v>
      </c>
    </row>
    <row r="8" spans="1:9" x14ac:dyDescent="0.25">
      <c r="A8">
        <v>815</v>
      </c>
      <c r="B8">
        <v>195000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4"/>
  <dimension ref="A1:D7"/>
  <sheetViews>
    <sheetView workbookViewId="0"/>
  </sheetViews>
  <sheetFormatPr defaultRowHeight="15" x14ac:dyDescent="0.25"/>
  <cols>
    <col min="3" max="3" width="4" customWidth="1"/>
    <col min="4" max="4" width="27.85546875" customWidth="1"/>
  </cols>
  <sheetData>
    <row r="1" spans="1:4" x14ac:dyDescent="0.25">
      <c r="A1" s="1" t="s">
        <v>1020</v>
      </c>
    </row>
    <row r="3" spans="1:4" x14ac:dyDescent="0.25">
      <c r="A3" s="53" t="s">
        <v>422</v>
      </c>
      <c r="B3" s="439">
        <v>4</v>
      </c>
    </row>
    <row r="4" spans="1:4" x14ac:dyDescent="0.25">
      <c r="A4" s="53" t="s">
        <v>140</v>
      </c>
      <c r="B4" s="163">
        <v>10</v>
      </c>
    </row>
    <row r="5" spans="1:4" x14ac:dyDescent="0.25">
      <c r="A5" s="53" t="s">
        <v>528</v>
      </c>
      <c r="B5" s="163">
        <f>1/B3</f>
        <v>0.25</v>
      </c>
      <c r="D5" t="e">
        <f ca="1">FTEXT(B5)</f>
        <v>#NAME?</v>
      </c>
    </row>
    <row r="6" spans="1:4" x14ac:dyDescent="0.25">
      <c r="A6" s="53" t="s">
        <v>28</v>
      </c>
      <c r="B6" s="163">
        <v>3</v>
      </c>
    </row>
    <row r="7" spans="1:4" x14ac:dyDescent="0.25">
      <c r="A7" t="s">
        <v>1021</v>
      </c>
      <c r="B7" s="155">
        <f>GAMMADIST(B6,B4,B5,TRUE)</f>
        <v>0.75760783832948764</v>
      </c>
      <c r="D7" s="22" t="s">
        <v>1278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3"/>
  <dimension ref="A1:J23"/>
  <sheetViews>
    <sheetView workbookViewId="0"/>
  </sheetViews>
  <sheetFormatPr defaultRowHeight="15" x14ac:dyDescent="0.25"/>
  <cols>
    <col min="2" max="2" width="9.140625" customWidth="1"/>
    <col min="3" max="3" width="4.140625" customWidth="1"/>
    <col min="4" max="4" width="25.85546875" customWidth="1"/>
  </cols>
  <sheetData>
    <row r="1" spans="1:10" x14ac:dyDescent="0.25">
      <c r="A1" s="1" t="s">
        <v>1016</v>
      </c>
      <c r="H1" s="592" t="s">
        <v>943</v>
      </c>
      <c r="I1" s="592"/>
      <c r="J1" s="592"/>
    </row>
    <row r="2" spans="1:10" x14ac:dyDescent="0.25">
      <c r="G2" s="19" t="s">
        <v>28</v>
      </c>
      <c r="H2">
        <v>1</v>
      </c>
      <c r="I2">
        <v>2</v>
      </c>
      <c r="J2">
        <v>3</v>
      </c>
    </row>
    <row r="3" spans="1:10" x14ac:dyDescent="0.25">
      <c r="A3" s="53" t="s">
        <v>422</v>
      </c>
      <c r="B3" s="315">
        <v>5</v>
      </c>
      <c r="G3">
        <v>0</v>
      </c>
      <c r="H3" s="316">
        <f t="shared" ref="H3:H21" si="0">EXPONDIST($G3,H$2,FALSE)</f>
        <v>1</v>
      </c>
      <c r="I3" s="292">
        <f t="shared" ref="I3:J18" si="1">EXPONDIST($G3,I$2,FALSE)</f>
        <v>2</v>
      </c>
      <c r="J3" s="317">
        <f t="shared" si="1"/>
        <v>3</v>
      </c>
    </row>
    <row r="4" spans="1:10" x14ac:dyDescent="0.25">
      <c r="A4" t="s">
        <v>28</v>
      </c>
      <c r="B4" s="163">
        <v>0.5</v>
      </c>
      <c r="G4">
        <f>G3+0.2</f>
        <v>0.2</v>
      </c>
      <c r="H4" s="166">
        <f t="shared" si="0"/>
        <v>0.81873075307798182</v>
      </c>
      <c r="I4" s="8">
        <f t="shared" si="1"/>
        <v>1.3406400920712787</v>
      </c>
      <c r="J4" s="167">
        <f t="shared" si="1"/>
        <v>1.6464349082820791</v>
      </c>
    </row>
    <row r="5" spans="1:10" x14ac:dyDescent="0.25">
      <c r="A5" t="s">
        <v>1017</v>
      </c>
      <c r="B5" s="155">
        <f>1-EXPONDIST(B4,B3,TRUE)</f>
        <v>8.2084998623898842E-2</v>
      </c>
      <c r="D5" s="22" t="s">
        <v>1279</v>
      </c>
      <c r="G5">
        <f t="shared" ref="G5:G20" si="2">G4+0.2</f>
        <v>0.4</v>
      </c>
      <c r="H5" s="166">
        <f t="shared" si="0"/>
        <v>0.67032004603563933</v>
      </c>
      <c r="I5" s="8">
        <f t="shared" si="1"/>
        <v>0.89865792823444313</v>
      </c>
      <c r="J5" s="167">
        <f t="shared" si="1"/>
        <v>0.90358263573660613</v>
      </c>
    </row>
    <row r="6" spans="1:10" x14ac:dyDescent="0.25">
      <c r="G6">
        <f t="shared" si="2"/>
        <v>0.60000000000000009</v>
      </c>
      <c r="H6" s="166">
        <f t="shared" si="0"/>
        <v>0.54881163609402639</v>
      </c>
      <c r="I6" s="8">
        <f t="shared" si="1"/>
        <v>0.60238842382440405</v>
      </c>
      <c r="J6" s="167">
        <f t="shared" si="1"/>
        <v>0.49589666466475951</v>
      </c>
    </row>
    <row r="7" spans="1:10" x14ac:dyDescent="0.25">
      <c r="G7">
        <f t="shared" si="2"/>
        <v>0.8</v>
      </c>
      <c r="H7" s="166">
        <f t="shared" si="0"/>
        <v>0.44932896411722156</v>
      </c>
      <c r="I7" s="8">
        <f t="shared" si="1"/>
        <v>0.40379303598931077</v>
      </c>
      <c r="J7" s="167">
        <f t="shared" si="1"/>
        <v>0.27215385986823742</v>
      </c>
    </row>
    <row r="8" spans="1:10" x14ac:dyDescent="0.25">
      <c r="A8" s="53" t="s">
        <v>422</v>
      </c>
      <c r="B8" s="315">
        <f>LN(0.9)/(-10000)</f>
        <v>1.0536051565782628E-5</v>
      </c>
      <c r="D8" t="e">
        <f ca="1">FTEXT(B8)</f>
        <v>#NAME?</v>
      </c>
      <c r="G8">
        <f t="shared" si="2"/>
        <v>1</v>
      </c>
      <c r="H8" s="166">
        <f t="shared" si="0"/>
        <v>0.36787944117144233</v>
      </c>
      <c r="I8" s="8">
        <f t="shared" si="1"/>
        <v>0.2706705664732254</v>
      </c>
      <c r="J8" s="167">
        <f t="shared" si="1"/>
        <v>0.14936120510359183</v>
      </c>
    </row>
    <row r="9" spans="1:10" x14ac:dyDescent="0.25">
      <c r="A9" s="147" t="s">
        <v>28</v>
      </c>
      <c r="B9" s="163">
        <v>40000</v>
      </c>
      <c r="G9">
        <f t="shared" si="2"/>
        <v>1.2</v>
      </c>
      <c r="H9" s="166">
        <f t="shared" si="0"/>
        <v>0.30119421191220214</v>
      </c>
      <c r="I9" s="8">
        <f t="shared" si="1"/>
        <v>0.18143590657882502</v>
      </c>
      <c r="J9" s="167">
        <f t="shared" si="1"/>
        <v>8.1971167341877704E-2</v>
      </c>
    </row>
    <row r="10" spans="1:10" x14ac:dyDescent="0.25">
      <c r="A10" t="s">
        <v>1018</v>
      </c>
      <c r="B10" s="155">
        <f>1-EXPONDIST(B9,B8,TRUE)</f>
        <v>0.65610000000000002</v>
      </c>
      <c r="D10" s="22" t="s">
        <v>1280</v>
      </c>
      <c r="G10">
        <f t="shared" si="2"/>
        <v>1.4</v>
      </c>
      <c r="H10" s="166">
        <f t="shared" si="0"/>
        <v>0.24659696394160649</v>
      </c>
      <c r="I10" s="8">
        <f t="shared" si="1"/>
        <v>0.12162012525043595</v>
      </c>
      <c r="J10" s="167">
        <f t="shared" si="1"/>
        <v>4.4986730461433151E-2</v>
      </c>
    </row>
    <row r="11" spans="1:10" x14ac:dyDescent="0.25">
      <c r="G11">
        <f t="shared" si="2"/>
        <v>1.5999999999999999</v>
      </c>
      <c r="H11" s="166">
        <f t="shared" si="0"/>
        <v>0.20189651799465544</v>
      </c>
      <c r="I11" s="8">
        <f t="shared" si="1"/>
        <v>8.152440795673245E-2</v>
      </c>
      <c r="J11" s="167">
        <f t="shared" si="1"/>
        <v>2.468924114706009E-2</v>
      </c>
    </row>
    <row r="12" spans="1:10" x14ac:dyDescent="0.25">
      <c r="A12" t="s">
        <v>1019</v>
      </c>
      <c r="B12" s="205">
        <f>1/B8</f>
        <v>94912.215810299051</v>
      </c>
      <c r="D12" t="e">
        <f ca="1">FTEXT(B12)</f>
        <v>#NAME?</v>
      </c>
      <c r="G12">
        <f t="shared" si="2"/>
        <v>1.7999999999999998</v>
      </c>
      <c r="H12" s="166">
        <f t="shared" si="0"/>
        <v>0.16529888822158656</v>
      </c>
      <c r="I12" s="8">
        <f t="shared" si="1"/>
        <v>5.4647444894585138E-2</v>
      </c>
      <c r="J12" s="167">
        <f t="shared" si="1"/>
        <v>1.354974282783801E-2</v>
      </c>
    </row>
    <row r="13" spans="1:10" x14ac:dyDescent="0.25">
      <c r="G13">
        <f t="shared" si="2"/>
        <v>1.9999999999999998</v>
      </c>
      <c r="H13" s="166">
        <f t="shared" si="0"/>
        <v>0.13533528323661273</v>
      </c>
      <c r="I13" s="8">
        <f t="shared" si="1"/>
        <v>3.6631277777468378E-2</v>
      </c>
      <c r="J13" s="167">
        <f t="shared" si="1"/>
        <v>7.4362565299990815E-3</v>
      </c>
    </row>
    <row r="14" spans="1:10" x14ac:dyDescent="0.25">
      <c r="G14">
        <f t="shared" si="2"/>
        <v>2.1999999999999997</v>
      </c>
      <c r="H14" s="166">
        <f t="shared" si="0"/>
        <v>0.11080315836233391</v>
      </c>
      <c r="I14" s="8">
        <f t="shared" si="1"/>
        <v>2.4554679806136896E-2</v>
      </c>
      <c r="J14" s="167">
        <f t="shared" si="1"/>
        <v>4.0811041126436812E-3</v>
      </c>
    </row>
    <row r="15" spans="1:10" x14ac:dyDescent="0.25">
      <c r="G15">
        <f t="shared" si="2"/>
        <v>2.4</v>
      </c>
      <c r="H15" s="166">
        <f t="shared" si="0"/>
        <v>9.0717953289412512E-2</v>
      </c>
      <c r="I15" s="8">
        <f t="shared" si="1"/>
        <v>1.645949409804006E-2</v>
      </c>
      <c r="J15" s="167">
        <f t="shared" si="1"/>
        <v>2.2397574251300395E-3</v>
      </c>
    </row>
    <row r="16" spans="1:10" x14ac:dyDescent="0.25">
      <c r="G16">
        <f t="shared" si="2"/>
        <v>2.6</v>
      </c>
      <c r="H16" s="166">
        <f t="shared" si="0"/>
        <v>7.4273578214333877E-2</v>
      </c>
      <c r="I16" s="8">
        <f t="shared" si="1"/>
        <v>1.1033128841521543E-2</v>
      </c>
      <c r="J16" s="167">
        <f t="shared" si="1"/>
        <v>1.2292049369393592E-3</v>
      </c>
    </row>
    <row r="17" spans="7:10" x14ac:dyDescent="0.25">
      <c r="G17">
        <f t="shared" si="2"/>
        <v>2.8000000000000003</v>
      </c>
      <c r="H17" s="166">
        <f t="shared" si="0"/>
        <v>6.0810062625217952E-2</v>
      </c>
      <c r="I17" s="8">
        <f t="shared" si="1"/>
        <v>7.395727432965858E-3</v>
      </c>
      <c r="J17" s="167">
        <f t="shared" si="1"/>
        <v>6.7460197253654461E-4</v>
      </c>
    </row>
    <row r="18" spans="7:10" x14ac:dyDescent="0.25">
      <c r="G18">
        <f t="shared" si="2"/>
        <v>3.0000000000000004</v>
      </c>
      <c r="H18" s="166">
        <f t="shared" si="0"/>
        <v>4.9787068367863924E-2</v>
      </c>
      <c r="I18" s="8">
        <f t="shared" si="1"/>
        <v>4.9575043533327126E-3</v>
      </c>
      <c r="J18" s="167">
        <f t="shared" si="1"/>
        <v>3.7022941226003798E-4</v>
      </c>
    </row>
    <row r="19" spans="7:10" x14ac:dyDescent="0.25">
      <c r="G19">
        <f t="shared" si="2"/>
        <v>3.2000000000000006</v>
      </c>
      <c r="H19" s="166">
        <f t="shared" si="0"/>
        <v>4.076220397836619E-2</v>
      </c>
      <c r="I19" s="8">
        <f t="shared" ref="I19:J21" si="3">EXPONDIST($G19,I$2,FALSE)</f>
        <v>3.3231145463478648E-3</v>
      </c>
      <c r="J19" s="167">
        <f t="shared" si="3"/>
        <v>2.0318620947256132E-4</v>
      </c>
    </row>
    <row r="20" spans="7:10" x14ac:dyDescent="0.25">
      <c r="G20">
        <f t="shared" si="2"/>
        <v>3.4000000000000008</v>
      </c>
      <c r="H20" s="166">
        <f t="shared" si="0"/>
        <v>3.3373269960326052E-2</v>
      </c>
      <c r="I20" s="8">
        <f t="shared" si="3"/>
        <v>2.2275502956896026E-3</v>
      </c>
      <c r="J20" s="167">
        <f t="shared" si="3"/>
        <v>1.115109560523798E-4</v>
      </c>
    </row>
    <row r="21" spans="7:10" x14ac:dyDescent="0.25">
      <c r="G21">
        <f>G20+0.2</f>
        <v>3.600000000000001</v>
      </c>
      <c r="H21" s="166">
        <f t="shared" si="0"/>
        <v>2.7323722447292535E-2</v>
      </c>
      <c r="I21" s="8">
        <f t="shared" si="3"/>
        <v>1.4931716167533558E-3</v>
      </c>
      <c r="J21" s="167">
        <f t="shared" si="3"/>
        <v>6.1198510233515655E-5</v>
      </c>
    </row>
    <row r="22" spans="7:10" x14ac:dyDescent="0.25">
      <c r="G22">
        <f>G21+0.2</f>
        <v>3.8000000000000012</v>
      </c>
      <c r="H22" s="166">
        <f t="shared" ref="H22:J23" si="4">EXPONDIST($G22,H$2,FALSE)</f>
        <v>2.237077185616557E-2</v>
      </c>
      <c r="I22" s="8">
        <f t="shared" si="4"/>
        <v>1.0009028668812191E-3</v>
      </c>
      <c r="J22" s="167">
        <f t="shared" si="4"/>
        <v>3.3586454527772699E-5</v>
      </c>
    </row>
    <row r="23" spans="7:10" x14ac:dyDescent="0.25">
      <c r="G23">
        <f>G22+0.2</f>
        <v>4.0000000000000009</v>
      </c>
      <c r="H23" s="148">
        <f t="shared" si="4"/>
        <v>1.8315638888734165E-2</v>
      </c>
      <c r="I23" s="276">
        <f t="shared" si="4"/>
        <v>6.7092525580502251E-4</v>
      </c>
      <c r="J23" s="153">
        <f t="shared" si="4"/>
        <v>1.8432637059984564E-5</v>
      </c>
    </row>
  </sheetData>
  <mergeCells count="1">
    <mergeCell ref="H1:J1"/>
  </mergeCells>
  <pageMargins left="0.7" right="0.7" top="0.75" bottom="0.75" header="0.3" footer="0.3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1"/>
  <dimension ref="A1:E6"/>
  <sheetViews>
    <sheetView workbookViewId="0"/>
  </sheetViews>
  <sheetFormatPr defaultRowHeight="15" x14ac:dyDescent="0.25"/>
  <cols>
    <col min="1" max="1" width="11.7109375" customWidth="1"/>
    <col min="4" max="4" width="4.28515625" customWidth="1"/>
    <col min="5" max="5" width="32.28515625" customWidth="1"/>
  </cols>
  <sheetData>
    <row r="1" spans="1:5" x14ac:dyDescent="0.25">
      <c r="A1" s="474" t="s">
        <v>1321</v>
      </c>
    </row>
    <row r="2" spans="1:5" x14ac:dyDescent="0.25">
      <c r="A2" s="473"/>
    </row>
    <row r="3" spans="1:5" x14ac:dyDescent="0.25">
      <c r="A3" t="s">
        <v>1324</v>
      </c>
      <c r="B3" s="4">
        <v>1000</v>
      </c>
      <c r="C3" s="6">
        <v>1000</v>
      </c>
    </row>
    <row r="4" spans="1:5" x14ac:dyDescent="0.25">
      <c r="A4" t="s">
        <v>1322</v>
      </c>
      <c r="B4" s="166">
        <v>2</v>
      </c>
      <c r="C4" s="167">
        <v>1</v>
      </c>
    </row>
    <row r="5" spans="1:5" x14ac:dyDescent="0.25">
      <c r="A5" t="s">
        <v>1323</v>
      </c>
      <c r="B5" s="166">
        <v>0.05</v>
      </c>
      <c r="C5" s="167">
        <v>0.05</v>
      </c>
    </row>
    <row r="6" spans="1:5" x14ac:dyDescent="0.25">
      <c r="A6" t="s">
        <v>1325</v>
      </c>
      <c r="B6" s="148">
        <f>0.5*B3*CHIINV(B5,2*(B4+1))</f>
        <v>6295.7936218719888</v>
      </c>
      <c r="C6" s="153">
        <f>0.5*C3*CHIINV(C5,2*(C4+1))</f>
        <v>4743.8645183905792</v>
      </c>
      <c r="E6" s="22" t="s">
        <v>1326</v>
      </c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2"/>
  <dimension ref="A1:J12"/>
  <sheetViews>
    <sheetView workbookViewId="0"/>
  </sheetViews>
  <sheetFormatPr defaultRowHeight="15" x14ac:dyDescent="0.25"/>
  <cols>
    <col min="1" max="5" width="7.85546875" customWidth="1"/>
    <col min="9" max="9" width="3.7109375" customWidth="1"/>
    <col min="10" max="10" width="29.42578125" customWidth="1"/>
  </cols>
  <sheetData>
    <row r="1" spans="1:10" x14ac:dyDescent="0.25">
      <c r="A1" s="1" t="s">
        <v>1005</v>
      </c>
    </row>
    <row r="3" spans="1:10" x14ac:dyDescent="0.25">
      <c r="A3" s="379">
        <v>2.7</v>
      </c>
      <c r="B3" s="380">
        <v>5.9</v>
      </c>
      <c r="C3" s="380">
        <v>8.1</v>
      </c>
      <c r="D3" s="380">
        <v>9.1</v>
      </c>
      <c r="E3" s="381">
        <v>5</v>
      </c>
      <c r="G3" t="s">
        <v>63</v>
      </c>
      <c r="H3" s="384">
        <f>AVERAGE(A3:E10)</f>
        <v>6.2124999999999986</v>
      </c>
      <c r="J3" t="s">
        <v>1008</v>
      </c>
    </row>
    <row r="4" spans="1:10" x14ac:dyDescent="0.25">
      <c r="A4" s="231">
        <v>8.1999999999999993</v>
      </c>
      <c r="B4" s="110">
        <v>2.1</v>
      </c>
      <c r="C4" s="110">
        <v>7.1</v>
      </c>
      <c r="D4" s="110">
        <v>4.5999999999999996</v>
      </c>
      <c r="E4" s="382">
        <v>3.9</v>
      </c>
      <c r="G4" t="s">
        <v>66</v>
      </c>
      <c r="H4" s="155">
        <f>STDEV(A3:E10)</f>
        <v>2.8315246866806723</v>
      </c>
      <c r="J4" s="22" t="s">
        <v>1013</v>
      </c>
    </row>
    <row r="5" spans="1:10" x14ac:dyDescent="0.25">
      <c r="A5" s="231">
        <v>8.4</v>
      </c>
      <c r="B5" s="110">
        <v>8.1</v>
      </c>
      <c r="C5" s="110">
        <v>8.1</v>
      </c>
      <c r="D5" s="110">
        <v>10</v>
      </c>
      <c r="E5" s="382">
        <v>7.4</v>
      </c>
      <c r="J5" t="s">
        <v>567</v>
      </c>
    </row>
    <row r="6" spans="1:10" x14ac:dyDescent="0.25">
      <c r="A6" s="231">
        <v>1.9</v>
      </c>
      <c r="B6" s="110">
        <v>9.1</v>
      </c>
      <c r="C6" s="110">
        <v>2.6</v>
      </c>
      <c r="D6" s="110">
        <v>1.9</v>
      </c>
      <c r="E6" s="382">
        <v>9.3000000000000007</v>
      </c>
      <c r="G6" t="s">
        <v>1006</v>
      </c>
      <c r="H6" s="315">
        <f>2*H3</f>
        <v>12.424999999999997</v>
      </c>
      <c r="J6" t="s">
        <v>1009</v>
      </c>
    </row>
    <row r="7" spans="1:10" x14ac:dyDescent="0.25">
      <c r="A7" s="231">
        <v>9.6999999999999993</v>
      </c>
      <c r="B7" s="110">
        <v>11</v>
      </c>
      <c r="C7" s="110">
        <v>2.7</v>
      </c>
      <c r="D7" s="110">
        <v>3.8</v>
      </c>
      <c r="E7" s="382">
        <v>1.2</v>
      </c>
      <c r="G7" t="s">
        <v>1007</v>
      </c>
      <c r="H7" s="155">
        <f>H4*SQRT(12)</f>
        <v>9.8086892404329404</v>
      </c>
      <c r="J7" t="s">
        <v>1010</v>
      </c>
    </row>
    <row r="8" spans="1:10" x14ac:dyDescent="0.25">
      <c r="A8" s="231">
        <v>7.8</v>
      </c>
      <c r="B8" s="110">
        <v>6</v>
      </c>
      <c r="C8" s="110">
        <v>5.4</v>
      </c>
      <c r="D8" s="110">
        <v>3</v>
      </c>
      <c r="E8" s="382">
        <v>6.1</v>
      </c>
      <c r="J8" t="s">
        <v>567</v>
      </c>
    </row>
    <row r="9" spans="1:10" x14ac:dyDescent="0.25">
      <c r="A9" s="231">
        <v>7.7</v>
      </c>
      <c r="B9" s="110">
        <v>7.2</v>
      </c>
      <c r="C9" s="110">
        <v>7.6</v>
      </c>
      <c r="D9" s="110">
        <v>9.9</v>
      </c>
      <c r="E9" s="382">
        <v>8.6999999999999993</v>
      </c>
      <c r="G9" t="s">
        <v>136</v>
      </c>
      <c r="H9" s="315">
        <f>(H6-H7)/2</f>
        <v>1.3081553797835284</v>
      </c>
      <c r="J9" t="s">
        <v>1011</v>
      </c>
    </row>
    <row r="10" spans="1:10" x14ac:dyDescent="0.25">
      <c r="A10" s="289">
        <v>4.7</v>
      </c>
      <c r="B10" s="341">
        <v>9.4</v>
      </c>
      <c r="C10" s="341">
        <v>1.5</v>
      </c>
      <c r="D10" s="341">
        <v>3.6</v>
      </c>
      <c r="E10" s="383">
        <v>8</v>
      </c>
      <c r="G10" t="s">
        <v>137</v>
      </c>
      <c r="H10" s="155">
        <f>(H6+H7)/2</f>
        <v>11.116844620216469</v>
      </c>
      <c r="J10" t="s">
        <v>1012</v>
      </c>
    </row>
    <row r="12" spans="1:10" x14ac:dyDescent="0.25">
      <c r="G12" t="s">
        <v>1014</v>
      </c>
      <c r="H12" s="205" t="e">
        <f ca="1">UNIFORM_DIST(5,H9,H10,TRUE)</f>
        <v>#NAME?</v>
      </c>
      <c r="J12" s="22" t="s">
        <v>1015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E46"/>
  <sheetViews>
    <sheetView workbookViewId="0"/>
  </sheetViews>
  <sheetFormatPr defaultRowHeight="15" x14ac:dyDescent="0.25"/>
  <cols>
    <col min="1" max="1" width="7.140625" customWidth="1"/>
  </cols>
  <sheetData>
    <row r="1" spans="1:5" x14ac:dyDescent="0.25">
      <c r="A1" s="1" t="s">
        <v>1613</v>
      </c>
    </row>
    <row r="2" spans="1:5" x14ac:dyDescent="0.25">
      <c r="A2" s="1"/>
    </row>
    <row r="3" spans="1:5" x14ac:dyDescent="0.25">
      <c r="A3" s="570" t="s">
        <v>262</v>
      </c>
      <c r="B3" s="566">
        <v>1</v>
      </c>
      <c r="C3" s="566">
        <v>1</v>
      </c>
      <c r="D3" s="566">
        <v>1</v>
      </c>
      <c r="E3" s="566">
        <v>1</v>
      </c>
    </row>
    <row r="4" spans="1:5" x14ac:dyDescent="0.25">
      <c r="A4" s="276" t="s">
        <v>398</v>
      </c>
      <c r="B4" s="527">
        <v>0.4</v>
      </c>
      <c r="C4" s="527">
        <v>1</v>
      </c>
      <c r="D4" s="527">
        <v>2</v>
      </c>
      <c r="E4" s="527">
        <v>5</v>
      </c>
    </row>
    <row r="6" spans="1:5" x14ac:dyDescent="0.25">
      <c r="A6" s="561" t="s">
        <v>28</v>
      </c>
      <c r="B6" s="561" t="s">
        <v>1614</v>
      </c>
      <c r="C6" s="561" t="s">
        <v>1615</v>
      </c>
      <c r="D6" s="561" t="s">
        <v>1616</v>
      </c>
      <c r="E6" s="561" t="s">
        <v>1617</v>
      </c>
    </row>
    <row r="7" spans="1:5" x14ac:dyDescent="0.25">
      <c r="A7">
        <v>0.05</v>
      </c>
      <c r="B7">
        <f t="shared" ref="B7:E26" si="0">WEIBULL($A7,B$4,B$3,FALSE)</f>
        <v>1.7850381997646314</v>
      </c>
      <c r="C7">
        <f t="shared" si="0"/>
        <v>0.95122942450071402</v>
      </c>
      <c r="D7">
        <f t="shared" si="0"/>
        <v>9.9750312239746022E-2</v>
      </c>
      <c r="E7">
        <f t="shared" si="0"/>
        <v>3.1249990234376551E-5</v>
      </c>
    </row>
    <row r="8" spans="1:5" x14ac:dyDescent="0.25">
      <c r="A8">
        <f>A7+0.05</f>
        <v>0.1</v>
      </c>
      <c r="B8">
        <f t="shared" si="0"/>
        <v>1.0694592569206118</v>
      </c>
      <c r="C8">
        <f t="shared" si="0"/>
        <v>0.90483741803595952</v>
      </c>
      <c r="D8">
        <f t="shared" si="0"/>
        <v>0.19800996674983365</v>
      </c>
      <c r="E8">
        <f t="shared" si="0"/>
        <v>4.9999500002500033E-4</v>
      </c>
    </row>
    <row r="9" spans="1:5" x14ac:dyDescent="0.25">
      <c r="A9">
        <f t="shared" ref="A9:A46" si="1">A8+0.05</f>
        <v>0.15000000000000002</v>
      </c>
      <c r="B9">
        <f t="shared" si="0"/>
        <v>0.78174691185668188</v>
      </c>
      <c r="C9">
        <f t="shared" si="0"/>
        <v>0.86070797642505781</v>
      </c>
      <c r="D9">
        <f t="shared" si="0"/>
        <v>0.29332537115800095</v>
      </c>
      <c r="E9">
        <f t="shared" si="0"/>
        <v>2.5310577905011747E-3</v>
      </c>
    </row>
    <row r="10" spans="1:5" x14ac:dyDescent="0.25">
      <c r="A10">
        <f t="shared" si="1"/>
        <v>0.2</v>
      </c>
      <c r="B10">
        <f t="shared" si="0"/>
        <v>0.62130476950109537</v>
      </c>
      <c r="C10">
        <f t="shared" si="0"/>
        <v>0.81873075307798182</v>
      </c>
      <c r="D10">
        <f t="shared" si="0"/>
        <v>0.38431577566092928</v>
      </c>
      <c r="E10">
        <f t="shared" si="0"/>
        <v>7.997440409556314E-3</v>
      </c>
    </row>
    <row r="11" spans="1:5" x14ac:dyDescent="0.25">
      <c r="A11">
        <f t="shared" si="1"/>
        <v>0.25</v>
      </c>
      <c r="B11">
        <f t="shared" si="0"/>
        <v>0.51743917721551058</v>
      </c>
      <c r="C11">
        <f t="shared" si="0"/>
        <v>0.77880078307140488</v>
      </c>
      <c r="D11">
        <f t="shared" si="0"/>
        <v>0.4697065314067379</v>
      </c>
      <c r="E11">
        <f t="shared" si="0"/>
        <v>1.9512185823866716E-2</v>
      </c>
    </row>
    <row r="12" spans="1:5" x14ac:dyDescent="0.25">
      <c r="A12">
        <f t="shared" si="1"/>
        <v>0.3</v>
      </c>
      <c r="B12">
        <f t="shared" si="0"/>
        <v>0.44409894163905034</v>
      </c>
      <c r="C12">
        <f t="shared" si="0"/>
        <v>0.74081822068171788</v>
      </c>
      <c r="D12">
        <f t="shared" si="0"/>
        <v>0.54835871116273693</v>
      </c>
      <c r="E12">
        <f t="shared" si="0"/>
        <v>4.040170447742867E-2</v>
      </c>
    </row>
    <row r="13" spans="1:5" x14ac:dyDescent="0.25">
      <c r="A13">
        <f t="shared" si="1"/>
        <v>0.35</v>
      </c>
      <c r="B13">
        <f t="shared" si="0"/>
        <v>0.38926652035485287</v>
      </c>
      <c r="C13">
        <f t="shared" si="0"/>
        <v>0.70468808971871344</v>
      </c>
      <c r="D13">
        <f t="shared" si="0"/>
        <v>0.61929413346043838</v>
      </c>
      <c r="E13">
        <f t="shared" si="0"/>
        <v>7.4638204883492057E-2</v>
      </c>
    </row>
    <row r="14" spans="1:5" x14ac:dyDescent="0.25">
      <c r="A14">
        <f t="shared" si="1"/>
        <v>0.39999999999999997</v>
      </c>
      <c r="B14">
        <f t="shared" si="0"/>
        <v>0.34657323165856135</v>
      </c>
      <c r="C14">
        <f t="shared" si="0"/>
        <v>0.67032004603563933</v>
      </c>
      <c r="D14">
        <f t="shared" si="0"/>
        <v>0.68171503117296905</v>
      </c>
      <c r="E14">
        <f t="shared" si="0"/>
        <v>0.12669596803842847</v>
      </c>
    </row>
    <row r="15" spans="1:5" x14ac:dyDescent="0.25">
      <c r="A15">
        <f t="shared" si="1"/>
        <v>0.44999999999999996</v>
      </c>
      <c r="B15">
        <f t="shared" si="0"/>
        <v>0.31230695815254977</v>
      </c>
      <c r="C15">
        <f t="shared" si="0"/>
        <v>0.63762815162177333</v>
      </c>
      <c r="D15">
        <f t="shared" si="0"/>
        <v>0.7350178343382997</v>
      </c>
      <c r="E15">
        <f t="shared" si="0"/>
        <v>0.20128254027692707</v>
      </c>
    </row>
    <row r="16" spans="1:5" x14ac:dyDescent="0.25">
      <c r="A16">
        <f t="shared" si="1"/>
        <v>0.49999999999999994</v>
      </c>
      <c r="B16">
        <f t="shared" si="0"/>
        <v>0.28414781331663674</v>
      </c>
      <c r="C16">
        <f t="shared" si="0"/>
        <v>0.60653065971263342</v>
      </c>
      <c r="D16">
        <f t="shared" si="0"/>
        <v>0.77880078307140477</v>
      </c>
      <c r="E16">
        <f t="shared" si="0"/>
        <v>0.30288538577385743</v>
      </c>
    </row>
    <row r="17" spans="1:5" x14ac:dyDescent="0.25">
      <c r="A17">
        <f t="shared" si="1"/>
        <v>0.54999999999999993</v>
      </c>
      <c r="B17">
        <f t="shared" si="0"/>
        <v>0.26056647260732857</v>
      </c>
      <c r="C17">
        <f t="shared" si="0"/>
        <v>0.57694981038048676</v>
      </c>
      <c r="D17">
        <f t="shared" si="0"/>
        <v>0.81286533708483855</v>
      </c>
      <c r="E17">
        <f t="shared" si="0"/>
        <v>0.43507426945465899</v>
      </c>
    </row>
    <row r="18" spans="1:5" x14ac:dyDescent="0.25">
      <c r="A18">
        <f t="shared" si="1"/>
        <v>0.6</v>
      </c>
      <c r="B18">
        <f t="shared" si="0"/>
        <v>0.24051123695541471</v>
      </c>
      <c r="C18">
        <f t="shared" si="0"/>
        <v>0.54881163609402639</v>
      </c>
      <c r="D18">
        <f t="shared" si="0"/>
        <v>0.83721159128523726</v>
      </c>
      <c r="E18">
        <f t="shared" si="0"/>
        <v>0.59952081613126662</v>
      </c>
    </row>
    <row r="19" spans="1:5" x14ac:dyDescent="0.25">
      <c r="A19">
        <f t="shared" si="1"/>
        <v>0.65</v>
      </c>
      <c r="B19">
        <f t="shared" si="0"/>
        <v>0.2232336011423362</v>
      </c>
      <c r="C19">
        <f t="shared" si="0"/>
        <v>0.52204577676101604</v>
      </c>
      <c r="D19">
        <f t="shared" si="0"/>
        <v>0.85202813062489269</v>
      </c>
      <c r="E19">
        <f t="shared" si="0"/>
        <v>0.7947538662738447</v>
      </c>
    </row>
    <row r="20" spans="1:5" x14ac:dyDescent="0.25">
      <c r="A20">
        <f t="shared" si="1"/>
        <v>0.70000000000000007</v>
      </c>
      <c r="B20">
        <f t="shared" si="0"/>
        <v>0.20818546667097215</v>
      </c>
      <c r="C20">
        <f t="shared" si="0"/>
        <v>0.49658530379140947</v>
      </c>
      <c r="D20">
        <f t="shared" si="0"/>
        <v>0.85767695185818249</v>
      </c>
      <c r="E20">
        <f t="shared" si="0"/>
        <v>1.0147762417157531</v>
      </c>
    </row>
    <row r="21" spans="1:5" x14ac:dyDescent="0.25">
      <c r="A21">
        <f t="shared" si="1"/>
        <v>0.75000000000000011</v>
      </c>
      <c r="B21">
        <f t="shared" si="0"/>
        <v>0.19495574061486204</v>
      </c>
      <c r="C21">
        <f t="shared" si="0"/>
        <v>0.47236655274101463</v>
      </c>
      <c r="D21">
        <f t="shared" si="0"/>
        <v>0.85467423709638446</v>
      </c>
      <c r="E21">
        <f t="shared" si="0"/>
        <v>1.2478286179129503</v>
      </c>
    </row>
    <row r="22" spans="1:5" x14ac:dyDescent="0.25">
      <c r="A22">
        <f t="shared" si="1"/>
        <v>0.80000000000000016</v>
      </c>
      <c r="B22">
        <f t="shared" si="0"/>
        <v>0.1832297031217911</v>
      </c>
      <c r="C22">
        <f t="shared" si="0"/>
        <v>0.44932896411722151</v>
      </c>
      <c r="D22">
        <f t="shared" si="0"/>
        <v>0.8436678784688777</v>
      </c>
      <c r="E22">
        <f t="shared" si="0"/>
        <v>1.4757756370086468</v>
      </c>
    </row>
    <row r="23" spans="1:5" x14ac:dyDescent="0.25">
      <c r="A23">
        <f t="shared" si="1"/>
        <v>0.8500000000000002</v>
      </c>
      <c r="B23">
        <f t="shared" si="0"/>
        <v>0.17276210571475831</v>
      </c>
      <c r="C23">
        <f t="shared" si="0"/>
        <v>0.4274149319487266</v>
      </c>
      <c r="D23">
        <f t="shared" si="0"/>
        <v>0.82541272176193492</v>
      </c>
      <c r="E23">
        <f t="shared" si="0"/>
        <v>1.6747382458699387</v>
      </c>
    </row>
    <row r="24" spans="1:5" x14ac:dyDescent="0.25">
      <c r="A24">
        <f t="shared" si="1"/>
        <v>0.90000000000000024</v>
      </c>
      <c r="B24">
        <f t="shared" si="0"/>
        <v>0.16335885429044239</v>
      </c>
      <c r="C24">
        <f t="shared" si="0"/>
        <v>0.406569659740599</v>
      </c>
      <c r="D24">
        <f t="shared" si="0"/>
        <v>0.80074451920129386</v>
      </c>
      <c r="E24">
        <f t="shared" si="0"/>
        <v>1.8175798252210906</v>
      </c>
    </row>
    <row r="25" spans="1:5" x14ac:dyDescent="0.25">
      <c r="A25">
        <f t="shared" si="1"/>
        <v>0.95000000000000029</v>
      </c>
      <c r="B25">
        <f t="shared" si="0"/>
        <v>0.15486422936421482</v>
      </c>
      <c r="C25">
        <f t="shared" si="0"/>
        <v>0.38674102345450112</v>
      </c>
      <c r="D25">
        <f t="shared" si="0"/>
        <v>0.77055355962030891</v>
      </c>
      <c r="E25">
        <f t="shared" si="0"/>
        <v>1.8785191821226919</v>
      </c>
    </row>
    <row r="26" spans="1:5" x14ac:dyDescent="0.25">
      <c r="A26">
        <f t="shared" si="1"/>
        <v>1.0000000000000002</v>
      </c>
      <c r="B26">
        <f t="shared" si="0"/>
        <v>0.14715177646857691</v>
      </c>
      <c r="C26">
        <f t="shared" si="0"/>
        <v>0.36787944117144222</v>
      </c>
      <c r="D26">
        <f t="shared" si="0"/>
        <v>0.73575888234288445</v>
      </c>
      <c r="E26">
        <f t="shared" si="0"/>
        <v>1.839397205857211</v>
      </c>
    </row>
    <row r="27" spans="1:5" x14ac:dyDescent="0.25">
      <c r="A27">
        <f t="shared" si="1"/>
        <v>1.0500000000000003</v>
      </c>
      <c r="B27">
        <f t="shared" ref="B27:E46" si="2">WEIBULL($A27,B$4,B$3,FALSE)</f>
        <v>0.14011768821590961</v>
      </c>
      <c r="C27">
        <f t="shared" si="2"/>
        <v>0.34993774911115527</v>
      </c>
      <c r="D27">
        <f t="shared" si="2"/>
        <v>0.69728388522378715</v>
      </c>
      <c r="E27">
        <f t="shared" si="2"/>
        <v>1.6960754215115859</v>
      </c>
    </row>
    <row r="28" spans="1:5" x14ac:dyDescent="0.25">
      <c r="A28">
        <f t="shared" si="1"/>
        <v>1.1000000000000003</v>
      </c>
      <c r="B28">
        <f t="shared" si="2"/>
        <v>0.1336759143583747</v>
      </c>
      <c r="C28">
        <f t="shared" si="2"/>
        <v>0.33287108369807944</v>
      </c>
      <c r="D28">
        <f t="shared" si="2"/>
        <v>0.65603401474575196</v>
      </c>
      <c r="E28">
        <f t="shared" si="2"/>
        <v>1.4625311976917503</v>
      </c>
    </row>
    <row r="29" spans="1:5" x14ac:dyDescent="0.25">
      <c r="A29">
        <f t="shared" si="1"/>
        <v>1.1500000000000004</v>
      </c>
      <c r="B29">
        <f t="shared" si="2"/>
        <v>0.12775449326941821</v>
      </c>
      <c r="C29">
        <f t="shared" si="2"/>
        <v>0.31663676937905311</v>
      </c>
      <c r="D29">
        <f t="shared" si="2"/>
        <v>0.61287708497110516</v>
      </c>
      <c r="E29">
        <f t="shared" si="2"/>
        <v>1.170145961485169</v>
      </c>
    </row>
    <row r="30" spans="1:5" x14ac:dyDescent="0.25">
      <c r="A30">
        <f t="shared" si="1"/>
        <v>1.2000000000000004</v>
      </c>
      <c r="B30">
        <f t="shared" si="2"/>
        <v>0.12229276169375052</v>
      </c>
      <c r="C30">
        <f t="shared" si="2"/>
        <v>0.30119421191220197</v>
      </c>
      <c r="D30">
        <f t="shared" si="2"/>
        <v>0.56862662083709192</v>
      </c>
      <c r="E30">
        <f t="shared" si="2"/>
        <v>0.86105589290958284</v>
      </c>
    </row>
    <row r="31" spans="1:5" x14ac:dyDescent="0.25">
      <c r="A31">
        <f t="shared" si="1"/>
        <v>1.2500000000000004</v>
      </c>
      <c r="B31">
        <f t="shared" si="2"/>
        <v>0.11723920588147539</v>
      </c>
      <c r="C31">
        <f t="shared" si="2"/>
        <v>0.28650479686018998</v>
      </c>
      <c r="D31">
        <f t="shared" si="2"/>
        <v>0.52402846787774415</v>
      </c>
      <c r="E31">
        <f t="shared" si="2"/>
        <v>0.57709655036975538</v>
      </c>
    </row>
    <row r="32" spans="1:5" x14ac:dyDescent="0.25">
      <c r="A32">
        <f t="shared" si="1"/>
        <v>1.3000000000000005</v>
      </c>
      <c r="B32">
        <f t="shared" si="2"/>
        <v>0.11254978775795979</v>
      </c>
      <c r="C32">
        <f t="shared" si="2"/>
        <v>0.27253179303401248</v>
      </c>
      <c r="D32">
        <f t="shared" si="2"/>
        <v>0.47975076238177167</v>
      </c>
      <c r="E32">
        <f t="shared" si="2"/>
        <v>0.34852858482357207</v>
      </c>
    </row>
    <row r="33" spans="1:5" x14ac:dyDescent="0.25">
      <c r="A33">
        <f t="shared" si="1"/>
        <v>1.3500000000000005</v>
      </c>
      <c r="B33">
        <f t="shared" si="2"/>
        <v>0.10818662747910224</v>
      </c>
      <c r="C33">
        <f t="shared" si="2"/>
        <v>0.2592402606458914</v>
      </c>
      <c r="D33">
        <f t="shared" si="2"/>
        <v>0.43637721965641552</v>
      </c>
      <c r="E33">
        <f t="shared" si="2"/>
        <v>0.18746236845944406</v>
      </c>
    </row>
    <row r="34" spans="1:5" x14ac:dyDescent="0.25">
      <c r="A34">
        <f t="shared" si="1"/>
        <v>1.4000000000000006</v>
      </c>
      <c r="B34">
        <f t="shared" si="2"/>
        <v>0.10411695652839716</v>
      </c>
      <c r="C34">
        <f t="shared" si="2"/>
        <v>0.24659696394160632</v>
      </c>
      <c r="D34">
        <f t="shared" si="2"/>
        <v>0.39440357857892555</v>
      </c>
      <c r="E34">
        <f t="shared" si="2"/>
        <v>8.8662953188255664E-2</v>
      </c>
    </row>
    <row r="35" spans="1:5" x14ac:dyDescent="0.25">
      <c r="A35">
        <f t="shared" si="1"/>
        <v>1.4500000000000006</v>
      </c>
      <c r="B35">
        <f t="shared" si="2"/>
        <v>0.10031227843010845</v>
      </c>
      <c r="C35">
        <f t="shared" si="2"/>
        <v>0.23457028809379751</v>
      </c>
      <c r="D35">
        <f t="shared" si="2"/>
        <v>0.35423694166597053</v>
      </c>
      <c r="E35">
        <f t="shared" si="2"/>
        <v>3.6368876026058788E-2</v>
      </c>
    </row>
    <row r="36" spans="1:5" x14ac:dyDescent="0.25">
      <c r="A36">
        <f t="shared" si="1"/>
        <v>1.5000000000000007</v>
      </c>
      <c r="B36">
        <f t="shared" si="2"/>
        <v>9.674769039304193E-2</v>
      </c>
      <c r="C36">
        <f t="shared" si="2"/>
        <v>0.22313016014842968</v>
      </c>
      <c r="D36">
        <f t="shared" si="2"/>
        <v>0.31619767368559243</v>
      </c>
      <c r="E36">
        <f t="shared" si="2"/>
        <v>1.2747097821466441E-2</v>
      </c>
    </row>
    <row r="37" spans="1:5" x14ac:dyDescent="0.25">
      <c r="A37">
        <f t="shared" si="1"/>
        <v>1.5500000000000007</v>
      </c>
      <c r="B37">
        <f t="shared" si="2"/>
        <v>9.3401330860214044E-2</v>
      </c>
      <c r="C37">
        <f t="shared" si="2"/>
        <v>0.2122479738267429</v>
      </c>
      <c r="D37">
        <f t="shared" si="2"/>
        <v>0.28052346915745691</v>
      </c>
      <c r="E37">
        <f t="shared" si="2"/>
        <v>3.7569341067389753E-3</v>
      </c>
    </row>
    <row r="38" spans="1:5" x14ac:dyDescent="0.25">
      <c r="A38">
        <f t="shared" si="1"/>
        <v>1.6000000000000008</v>
      </c>
      <c r="B38">
        <f t="shared" si="2"/>
        <v>9.0253926415134994E-2</v>
      </c>
      <c r="C38">
        <f t="shared" si="2"/>
        <v>0.20189651799465524</v>
      </c>
      <c r="D38">
        <f t="shared" si="2"/>
        <v>0.24737516941855875</v>
      </c>
      <c r="E38">
        <f t="shared" si="2"/>
        <v>9.1525524932246536E-4</v>
      </c>
    </row>
    <row r="39" spans="1:5" x14ac:dyDescent="0.25">
      <c r="A39">
        <f t="shared" si="1"/>
        <v>1.6500000000000008</v>
      </c>
      <c r="B39">
        <f t="shared" si="2"/>
        <v>8.7288417725715606E-2</v>
      </c>
      <c r="C39">
        <f t="shared" si="2"/>
        <v>0.19204990862075397</v>
      </c>
      <c r="D39">
        <f t="shared" si="2"/>
        <v>0.21684390165075906</v>
      </c>
      <c r="E39">
        <f t="shared" si="2"/>
        <v>1.8095335837966587E-4</v>
      </c>
    </row>
    <row r="40" spans="1:5" x14ac:dyDescent="0.25">
      <c r="A40">
        <f t="shared" si="1"/>
        <v>1.7000000000000008</v>
      </c>
      <c r="B40">
        <f t="shared" si="2"/>
        <v>8.4489648835186643E-2</v>
      </c>
      <c r="C40">
        <f t="shared" si="2"/>
        <v>0.1826835240527345</v>
      </c>
      <c r="D40">
        <f t="shared" si="2"/>
        <v>0.18895912287904193</v>
      </c>
      <c r="E40">
        <f t="shared" si="2"/>
        <v>2.847115514690975E-5</v>
      </c>
    </row>
    <row r="41" spans="1:5" x14ac:dyDescent="0.25">
      <c r="A41">
        <f t="shared" si="1"/>
        <v>1.7500000000000009</v>
      </c>
      <c r="B41">
        <f t="shared" si="2"/>
        <v>8.1844107581716508E-2</v>
      </c>
      <c r="C41">
        <f t="shared" si="2"/>
        <v>0.17377394345044497</v>
      </c>
      <c r="D41">
        <f t="shared" si="2"/>
        <v>0.16369717834385603</v>
      </c>
      <c r="E41">
        <f t="shared" si="2"/>
        <v>3.4914798936827875E-6</v>
      </c>
    </row>
    <row r="42" spans="1:5" x14ac:dyDescent="0.25">
      <c r="A42">
        <f t="shared" si="1"/>
        <v>1.8000000000000009</v>
      </c>
      <c r="B42">
        <f t="shared" si="2"/>
        <v>7.9339707557446557E-2</v>
      </c>
      <c r="C42">
        <f t="shared" si="2"/>
        <v>0.16529888822158639</v>
      </c>
      <c r="D42">
        <f t="shared" si="2"/>
        <v>0.14099002235635305</v>
      </c>
      <c r="E42">
        <f t="shared" si="2"/>
        <v>3.2641527127466746E-7</v>
      </c>
    </row>
    <row r="43" spans="1:5" x14ac:dyDescent="0.25">
      <c r="A43">
        <f t="shared" si="1"/>
        <v>1.850000000000001</v>
      </c>
      <c r="B43">
        <f t="shared" si="2"/>
        <v>7.696560402544371E-2</v>
      </c>
      <c r="C43">
        <f t="shared" si="2"/>
        <v>0.15723716631362747</v>
      </c>
      <c r="D43">
        <f t="shared" si="2"/>
        <v>0.12073379717371498</v>
      </c>
      <c r="E43">
        <f t="shared" si="2"/>
        <v>2.2724865995111773E-8</v>
      </c>
    </row>
    <row r="44" spans="1:5" x14ac:dyDescent="0.25">
      <c r="A44">
        <f t="shared" si="1"/>
        <v>1.900000000000001</v>
      </c>
      <c r="B44">
        <f t="shared" si="2"/>
        <v>7.4712037758860594E-2</v>
      </c>
      <c r="C44">
        <f t="shared" si="2"/>
        <v>0.1495686192226349</v>
      </c>
      <c r="D44">
        <f t="shared" si="2"/>
        <v>0.10279701809213117</v>
      </c>
      <c r="E44">
        <f t="shared" si="2"/>
        <v>1.1492726845407981E-9</v>
      </c>
    </row>
    <row r="45" spans="1:5" x14ac:dyDescent="0.25">
      <c r="A45">
        <f t="shared" si="1"/>
        <v>1.9500000000000011</v>
      </c>
      <c r="B45">
        <f t="shared" si="2"/>
        <v>7.257020196579167E-2</v>
      </c>
      <c r="C45">
        <f t="shared" si="2"/>
        <v>0.14227407158651342</v>
      </c>
      <c r="D45">
        <f t="shared" si="2"/>
        <v>8.7028167630168671E-2</v>
      </c>
      <c r="E45">
        <f t="shared" si="2"/>
        <v>4.1129035468507011E-11</v>
      </c>
    </row>
    <row r="46" spans="1:5" x14ac:dyDescent="0.25">
      <c r="A46" s="276">
        <f t="shared" si="1"/>
        <v>2.0000000000000009</v>
      </c>
      <c r="B46" s="276">
        <f t="shared" si="2"/>
        <v>7.0532128400339122E-2</v>
      </c>
      <c r="C46" s="276">
        <f t="shared" si="2"/>
        <v>0.13533528323661256</v>
      </c>
      <c r="D46" s="276">
        <f t="shared" si="2"/>
        <v>7.3262555554936493E-2</v>
      </c>
      <c r="E46" s="276">
        <f t="shared" si="2"/>
        <v>1.013133243927464E-12</v>
      </c>
    </row>
  </sheetData>
  <pageMargins left="0.7" right="0.7" top="0.75" bottom="0.75" header="0.3" footer="0.3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E46"/>
  <sheetViews>
    <sheetView workbookViewId="0"/>
  </sheetViews>
  <sheetFormatPr defaultRowHeight="15" x14ac:dyDescent="0.25"/>
  <cols>
    <col min="1" max="1" width="7.140625" customWidth="1"/>
  </cols>
  <sheetData>
    <row r="1" spans="1:5" x14ac:dyDescent="0.25">
      <c r="A1" s="1" t="s">
        <v>1613</v>
      </c>
    </row>
    <row r="2" spans="1:5" x14ac:dyDescent="0.25">
      <c r="A2" s="1"/>
    </row>
    <row r="3" spans="1:5" x14ac:dyDescent="0.25">
      <c r="A3" s="570" t="s">
        <v>262</v>
      </c>
      <c r="B3" s="566">
        <v>0.4</v>
      </c>
      <c r="C3" s="566">
        <v>0.8</v>
      </c>
      <c r="D3" s="566">
        <v>1.2</v>
      </c>
      <c r="E3" s="566">
        <v>1.6</v>
      </c>
    </row>
    <row r="4" spans="1:5" x14ac:dyDescent="0.25">
      <c r="A4" s="276" t="s">
        <v>398</v>
      </c>
      <c r="B4" s="527">
        <v>2</v>
      </c>
      <c r="C4" s="527">
        <v>2</v>
      </c>
      <c r="D4" s="527">
        <v>2</v>
      </c>
      <c r="E4" s="527">
        <v>2</v>
      </c>
    </row>
    <row r="6" spans="1:5" x14ac:dyDescent="0.25">
      <c r="A6" s="561" t="s">
        <v>28</v>
      </c>
      <c r="B6" s="561" t="s">
        <v>1618</v>
      </c>
      <c r="C6" s="561" t="s">
        <v>1619</v>
      </c>
      <c r="D6" s="561" t="s">
        <v>1620</v>
      </c>
      <c r="E6" s="561" t="s">
        <v>1621</v>
      </c>
    </row>
    <row r="7" spans="1:5" x14ac:dyDescent="0.25">
      <c r="A7">
        <v>0</v>
      </c>
      <c r="B7">
        <f t="shared" ref="B7:E26" si="0">WEIBULL($A7,B$4,B$3,FALSE)</f>
        <v>0</v>
      </c>
      <c r="C7">
        <f t="shared" si="0"/>
        <v>0</v>
      </c>
      <c r="D7">
        <f t="shared" si="0"/>
        <v>0</v>
      </c>
      <c r="E7">
        <f t="shared" si="0"/>
        <v>0</v>
      </c>
    </row>
    <row r="8" spans="1:5" x14ac:dyDescent="0.25">
      <c r="A8">
        <f>A7+0.05</f>
        <v>0.05</v>
      </c>
      <c r="B8">
        <f t="shared" si="0"/>
        <v>0.61531027312838027</v>
      </c>
      <c r="C8">
        <f t="shared" si="0"/>
        <v>0.15564083897970588</v>
      </c>
      <c r="D8">
        <f t="shared" si="0"/>
        <v>6.9323985767918928E-2</v>
      </c>
      <c r="E8">
        <f t="shared" si="0"/>
        <v>3.9024371647733425E-2</v>
      </c>
    </row>
    <row r="9" spans="1:5" x14ac:dyDescent="0.25">
      <c r="A9">
        <f t="shared" ref="A9:A46" si="1">A8+0.05</f>
        <v>0.1</v>
      </c>
      <c r="B9">
        <f t="shared" si="0"/>
        <v>1.1742663285168446</v>
      </c>
      <c r="C9">
        <f t="shared" si="0"/>
        <v>0.30765513656419019</v>
      </c>
      <c r="D9">
        <f t="shared" si="0"/>
        <v>0.13792772395698838</v>
      </c>
      <c r="E9">
        <f t="shared" si="0"/>
        <v>7.7820419489852938E-2</v>
      </c>
    </row>
    <row r="10" spans="1:5" x14ac:dyDescent="0.25">
      <c r="A10">
        <f t="shared" si="1"/>
        <v>0.15000000000000002</v>
      </c>
      <c r="B10">
        <f t="shared" si="0"/>
        <v>1.629028230492831</v>
      </c>
      <c r="C10">
        <f t="shared" si="0"/>
        <v>0.45255682134273656</v>
      </c>
      <c r="D10">
        <f t="shared" si="0"/>
        <v>0.2051034243761268</v>
      </c>
      <c r="E10">
        <f t="shared" si="0"/>
        <v>0.11616204473464668</v>
      </c>
    </row>
    <row r="11" spans="1:5" x14ac:dyDescent="0.25">
      <c r="A11">
        <f t="shared" si="1"/>
        <v>0.2</v>
      </c>
      <c r="B11">
        <f t="shared" si="0"/>
        <v>1.9470019576785123</v>
      </c>
      <c r="C11">
        <f t="shared" si="0"/>
        <v>0.58713316425842232</v>
      </c>
      <c r="D11">
        <f t="shared" si="0"/>
        <v>0.27016791031009679</v>
      </c>
      <c r="E11">
        <f t="shared" si="0"/>
        <v>0.15382756828209507</v>
      </c>
    </row>
    <row r="12" spans="1:5" x14ac:dyDescent="0.25">
      <c r="A12">
        <f t="shared" si="1"/>
        <v>0.25</v>
      </c>
      <c r="B12">
        <f t="shared" si="0"/>
        <v>2.1144807692554028</v>
      </c>
      <c r="C12">
        <f t="shared" si="0"/>
        <v>0.70856298272451845</v>
      </c>
      <c r="D12">
        <f t="shared" si="0"/>
        <v>0.33247418136685875</v>
      </c>
      <c r="E12">
        <f t="shared" si="0"/>
        <v>0.19060186526087083</v>
      </c>
    </row>
    <row r="13" spans="1:5" x14ac:dyDescent="0.25">
      <c r="A13">
        <f t="shared" si="1"/>
        <v>0.3</v>
      </c>
      <c r="B13">
        <f t="shared" si="0"/>
        <v>2.1366855927409611</v>
      </c>
      <c r="C13">
        <f t="shared" si="0"/>
        <v>0.81451411524641548</v>
      </c>
      <c r="D13">
        <f t="shared" si="0"/>
        <v>0.3914221095056149</v>
      </c>
      <c r="E13">
        <f t="shared" si="0"/>
        <v>0.2262784106713682</v>
      </c>
    </row>
    <row r="14" spans="1:5" x14ac:dyDescent="0.25">
      <c r="A14">
        <f t="shared" si="1"/>
        <v>0.35</v>
      </c>
      <c r="B14">
        <f t="shared" si="0"/>
        <v>2.0345639480864959</v>
      </c>
      <c r="C14">
        <f t="shared" si="0"/>
        <v>0.90321551244542242</v>
      </c>
      <c r="D14">
        <f t="shared" si="0"/>
        <v>0.44646802133931529</v>
      </c>
      <c r="E14">
        <f t="shared" si="0"/>
        <v>0.26066120893068351</v>
      </c>
    </row>
    <row r="15" spans="1:5" x14ac:dyDescent="0.25">
      <c r="A15">
        <f t="shared" si="1"/>
        <v>0.39999999999999997</v>
      </c>
      <c r="B15">
        <f t="shared" si="0"/>
        <v>1.8393972058572117</v>
      </c>
      <c r="C15">
        <f t="shared" si="0"/>
        <v>0.97350097883925613</v>
      </c>
      <c r="D15">
        <f t="shared" si="0"/>
        <v>0.49713295378576089</v>
      </c>
      <c r="E15">
        <f t="shared" si="0"/>
        <v>0.29356658212921116</v>
      </c>
    </row>
    <row r="16" spans="1:5" x14ac:dyDescent="0.25">
      <c r="A16">
        <f t="shared" si="1"/>
        <v>0.44999999999999996</v>
      </c>
      <c r="B16">
        <f t="shared" si="0"/>
        <v>1.5866041032777123</v>
      </c>
      <c r="C16">
        <f t="shared" si="0"/>
        <v>1.0248234326992844</v>
      </c>
      <c r="D16">
        <f t="shared" si="0"/>
        <v>0.54300941016427684</v>
      </c>
      <c r="E16">
        <f t="shared" si="0"/>
        <v>0.32482479424422922</v>
      </c>
    </row>
    <row r="17" spans="1:5" x14ac:dyDescent="0.25">
      <c r="A17">
        <f t="shared" si="1"/>
        <v>0.49999999999999994</v>
      </c>
      <c r="B17">
        <f t="shared" si="0"/>
        <v>1.3100711696943619</v>
      </c>
      <c r="C17">
        <f t="shared" si="0"/>
        <v>1.0572403846277014</v>
      </c>
      <c r="D17">
        <f t="shared" si="0"/>
        <v>0.58376648842673973</v>
      </c>
      <c r="E17">
        <f t="shared" si="0"/>
        <v>0.35428149136225912</v>
      </c>
    </row>
    <row r="18" spans="1:5" x14ac:dyDescent="0.25">
      <c r="A18">
        <f t="shared" si="1"/>
        <v>0.54999999999999993</v>
      </c>
      <c r="B18">
        <f t="shared" si="0"/>
        <v>1.0379697518844131</v>
      </c>
      <c r="C18">
        <f t="shared" si="0"/>
        <v>1.0713730310243716</v>
      </c>
      <c r="D18">
        <f t="shared" si="0"/>
        <v>0.6191533007550295</v>
      </c>
      <c r="E18">
        <f t="shared" si="0"/>
        <v>0.38179894108044493</v>
      </c>
    </row>
    <row r="19" spans="1:5" x14ac:dyDescent="0.25">
      <c r="A19">
        <f t="shared" si="1"/>
        <v>0.6</v>
      </c>
      <c r="B19">
        <f t="shared" si="0"/>
        <v>0.79049418421398299</v>
      </c>
      <c r="C19">
        <f t="shared" si="0"/>
        <v>1.0683427963704808</v>
      </c>
      <c r="D19">
        <f t="shared" si="0"/>
        <v>0.64900065255950401</v>
      </c>
      <c r="E19">
        <f t="shared" si="0"/>
        <v>0.40725705762320763</v>
      </c>
    </row>
    <row r="20" spans="1:5" x14ac:dyDescent="0.25">
      <c r="A20">
        <f t="shared" si="1"/>
        <v>0.65</v>
      </c>
      <c r="B20">
        <f t="shared" si="0"/>
        <v>0.57944804691928409</v>
      </c>
      <c r="C20">
        <f t="shared" si="0"/>
        <v>1.0496902462710151</v>
      </c>
      <c r="D20">
        <f t="shared" si="0"/>
        <v>0.67322099727878815</v>
      </c>
      <c r="E20">
        <f t="shared" si="0"/>
        <v>0.43055420275510858</v>
      </c>
    </row>
    <row r="21" spans="1:5" x14ac:dyDescent="0.25">
      <c r="A21">
        <f t="shared" si="1"/>
        <v>0.70000000000000007</v>
      </c>
      <c r="B21">
        <f t="shared" si="0"/>
        <v>0.40924294585964111</v>
      </c>
      <c r="C21">
        <f t="shared" si="0"/>
        <v>1.0172819740432482</v>
      </c>
      <c r="D21">
        <f t="shared" si="0"/>
        <v>0.69180672967952483</v>
      </c>
      <c r="E21">
        <f t="shared" si="0"/>
        <v>0.45160775622271132</v>
      </c>
    </row>
    <row r="22" spans="1:5" x14ac:dyDescent="0.25">
      <c r="A22">
        <f t="shared" si="1"/>
        <v>0.75000000000000011</v>
      </c>
      <c r="B22">
        <f t="shared" si="0"/>
        <v>0.27871140362023816</v>
      </c>
      <c r="C22">
        <f t="shared" si="0"/>
        <v>0.97321131722306553</v>
      </c>
      <c r="D22">
        <f t="shared" si="0"/>
        <v>0.70482692308513428</v>
      </c>
      <c r="E22">
        <f t="shared" si="0"/>
        <v>0.47035445314477758</v>
      </c>
    </row>
    <row r="23" spans="1:5" x14ac:dyDescent="0.25">
      <c r="A23">
        <f t="shared" si="1"/>
        <v>0.80000000000000016</v>
      </c>
      <c r="B23">
        <f t="shared" si="0"/>
        <v>0.18315638888734148</v>
      </c>
      <c r="C23">
        <f t="shared" si="0"/>
        <v>0.91969860292860561</v>
      </c>
      <c r="D23">
        <f t="shared" si="0"/>
        <v>0.71242265381106062</v>
      </c>
      <c r="E23">
        <f t="shared" si="0"/>
        <v>0.48675048941962795</v>
      </c>
    </row>
    <row r="24" spans="1:5" x14ac:dyDescent="0.25">
      <c r="A24">
        <f t="shared" si="1"/>
        <v>0.8500000000000002</v>
      </c>
      <c r="B24">
        <f t="shared" si="0"/>
        <v>0.11620315480017758</v>
      </c>
      <c r="C24">
        <f t="shared" si="0"/>
        <v>0.8589961007402469</v>
      </c>
      <c r="D24">
        <f t="shared" si="0"/>
        <v>0.71480108796932607</v>
      </c>
      <c r="E24">
        <f t="shared" si="0"/>
        <v>0.50077139976158547</v>
      </c>
    </row>
    <row r="25" spans="1:5" x14ac:dyDescent="0.25">
      <c r="A25">
        <f t="shared" si="1"/>
        <v>0.90000000000000024</v>
      </c>
      <c r="B25">
        <f t="shared" si="0"/>
        <v>7.1209298559214471E-2</v>
      </c>
      <c r="C25">
        <f t="shared" si="0"/>
        <v>0.79330205163885592</v>
      </c>
      <c r="D25">
        <f t="shared" si="0"/>
        <v>0.71222853091365357</v>
      </c>
      <c r="E25">
        <f t="shared" si="0"/>
        <v>0.51241171634964222</v>
      </c>
    </row>
    <row r="26" spans="1:5" x14ac:dyDescent="0.25">
      <c r="A26">
        <f t="shared" si="1"/>
        <v>0.95000000000000029</v>
      </c>
      <c r="B26">
        <f t="shared" si="0"/>
        <v>4.2163951617255044E-2</v>
      </c>
      <c r="C26">
        <f t="shared" si="0"/>
        <v>0.72468713065086265</v>
      </c>
      <c r="D26">
        <f t="shared" si="0"/>
        <v>0.70502265740256187</v>
      </c>
      <c r="E26">
        <f t="shared" si="0"/>
        <v>0.52168441921074815</v>
      </c>
    </row>
    <row r="27" spans="1:5" x14ac:dyDescent="0.25">
      <c r="A27">
        <f t="shared" si="1"/>
        <v>1.0000000000000002</v>
      </c>
      <c r="B27">
        <f t="shared" ref="B27:E46" si="2">WEIBULL($A27,B$4,B$3,FALSE)</f>
        <v>2.4130676702846326E-2</v>
      </c>
      <c r="C27">
        <f t="shared" si="2"/>
        <v>0.65503558484718061</v>
      </c>
      <c r="D27">
        <f t="shared" si="2"/>
        <v>0.69354415083232779</v>
      </c>
      <c r="E27">
        <f t="shared" si="2"/>
        <v>0.52862019231385071</v>
      </c>
    </row>
    <row r="28" spans="1:5" x14ac:dyDescent="0.25">
      <c r="A28">
        <f t="shared" si="1"/>
        <v>1.0500000000000003</v>
      </c>
      <c r="B28">
        <f t="shared" si="2"/>
        <v>1.3351771697442911E-2</v>
      </c>
      <c r="C28">
        <f t="shared" si="2"/>
        <v>0.58600216044705411</v>
      </c>
      <c r="D28">
        <f t="shared" si="2"/>
        <v>0.67818798269549874</v>
      </c>
      <c r="E28">
        <f t="shared" si="2"/>
        <v>0.53326650187312397</v>
      </c>
    </row>
    <row r="29" spans="1:5" x14ac:dyDescent="0.25">
      <c r="A29">
        <f t="shared" si="1"/>
        <v>1.1000000000000003</v>
      </c>
      <c r="B29">
        <f t="shared" si="2"/>
        <v>7.1441518796290116E-3</v>
      </c>
      <c r="C29">
        <f t="shared" si="2"/>
        <v>0.51898487594220633</v>
      </c>
      <c r="D29">
        <f t="shared" si="2"/>
        <v>0.65937455908682518</v>
      </c>
      <c r="E29">
        <f t="shared" si="2"/>
        <v>0.53568651551218571</v>
      </c>
    </row>
    <row r="30" spans="1:5" x14ac:dyDescent="0.25">
      <c r="A30">
        <f t="shared" si="1"/>
        <v>1.1500000000000004</v>
      </c>
      <c r="B30">
        <f t="shared" si="2"/>
        <v>3.6973667077595338E-3</v>
      </c>
      <c r="C30">
        <f t="shared" si="2"/>
        <v>0.45511277917036169</v>
      </c>
      <c r="D30">
        <f t="shared" si="2"/>
        <v>0.63754095018351797</v>
      </c>
      <c r="E30">
        <f t="shared" si="2"/>
        <v>0.53595788269707623</v>
      </c>
    </row>
    <row r="31" spans="1:5" x14ac:dyDescent="0.25">
      <c r="A31">
        <f t="shared" si="1"/>
        <v>1.2000000000000004</v>
      </c>
      <c r="B31">
        <f t="shared" si="2"/>
        <v>1.8511470613001837E-3</v>
      </c>
      <c r="C31">
        <f t="shared" si="2"/>
        <v>0.39524709210699088</v>
      </c>
      <c r="D31">
        <f t="shared" si="2"/>
        <v>0.61313240195240348</v>
      </c>
      <c r="E31">
        <f t="shared" si="2"/>
        <v>0.53417139818524029</v>
      </c>
    </row>
    <row r="32" spans="1:5" x14ac:dyDescent="0.25">
      <c r="A32">
        <f t="shared" si="1"/>
        <v>1.2500000000000004</v>
      </c>
      <c r="B32">
        <f t="shared" si="2"/>
        <v>8.967326365541962E-4</v>
      </c>
      <c r="C32">
        <f t="shared" si="2"/>
        <v>0.33999362365712277</v>
      </c>
      <c r="D32">
        <f t="shared" si="2"/>
        <v>0.5865943078258099</v>
      </c>
      <c r="E32">
        <f t="shared" si="2"/>
        <v>0.53042957115107925</v>
      </c>
    </row>
    <row r="33" spans="1:5" x14ac:dyDescent="0.25">
      <c r="A33">
        <f t="shared" si="1"/>
        <v>1.3000000000000005</v>
      </c>
      <c r="B33">
        <f t="shared" si="2"/>
        <v>4.2035662861812732E-4</v>
      </c>
      <c r="C33">
        <f t="shared" si="2"/>
        <v>0.28972402345964177</v>
      </c>
      <c r="D33">
        <f t="shared" si="2"/>
        <v>0.5583647927963149</v>
      </c>
      <c r="E33">
        <f t="shared" si="2"/>
        <v>0.52484512313550757</v>
      </c>
    </row>
    <row r="34" spans="1:5" x14ac:dyDescent="0.25">
      <c r="A34">
        <f t="shared" si="1"/>
        <v>1.3500000000000005</v>
      </c>
      <c r="B34">
        <f t="shared" si="2"/>
        <v>1.9070329572809194E-4</v>
      </c>
      <c r="C34">
        <f t="shared" si="2"/>
        <v>0.24460334648544782</v>
      </c>
      <c r="D34">
        <f t="shared" si="2"/>
        <v>0.5288680344259038</v>
      </c>
      <c r="E34">
        <f t="shared" si="2"/>
        <v>0.51753943803597302</v>
      </c>
    </row>
    <row r="35" spans="1:5" x14ac:dyDescent="0.25">
      <c r="A35">
        <f t="shared" si="1"/>
        <v>1.4000000000000006</v>
      </c>
      <c r="B35">
        <f t="shared" si="2"/>
        <v>8.3739554362257073E-5</v>
      </c>
      <c r="C35">
        <f t="shared" si="2"/>
        <v>0.20462147292982008</v>
      </c>
      <c r="D35">
        <f t="shared" si="2"/>
        <v>0.49850841577913457</v>
      </c>
      <c r="E35">
        <f t="shared" si="2"/>
        <v>0.50864098702162386</v>
      </c>
    </row>
    <row r="36" spans="1:5" x14ac:dyDescent="0.25">
      <c r="A36">
        <f t="shared" si="1"/>
        <v>1.4500000000000006</v>
      </c>
      <c r="B36">
        <f t="shared" si="2"/>
        <v>3.5594024003790565E-5</v>
      </c>
      <c r="C36">
        <f t="shared" si="2"/>
        <v>0.1696261450485983</v>
      </c>
      <c r="D36">
        <f t="shared" si="2"/>
        <v>0.46766557537144893</v>
      </c>
      <c r="E36">
        <f t="shared" si="2"/>
        <v>0.49828375055033597</v>
      </c>
    </row>
    <row r="37" spans="1:5" x14ac:dyDescent="0.25">
      <c r="A37">
        <f t="shared" si="1"/>
        <v>1.5000000000000007</v>
      </c>
      <c r="B37">
        <f t="shared" si="2"/>
        <v>1.4646542640570821E-5</v>
      </c>
      <c r="C37">
        <f t="shared" si="2"/>
        <v>0.13935570181011883</v>
      </c>
      <c r="D37">
        <f t="shared" si="2"/>
        <v>0.43669038989811992</v>
      </c>
      <c r="E37">
        <f t="shared" si="2"/>
        <v>0.48660565861153265</v>
      </c>
    </row>
    <row r="38" spans="1:5" x14ac:dyDescent="0.25">
      <c r="A38">
        <f t="shared" si="1"/>
        <v>1.5500000000000007</v>
      </c>
      <c r="B38">
        <f t="shared" si="2"/>
        <v>5.8349700517360258E-6</v>
      </c>
      <c r="C38">
        <f t="shared" si="2"/>
        <v>0.11346997257416315</v>
      </c>
      <c r="D38">
        <f t="shared" si="2"/>
        <v>0.40590189769356477</v>
      </c>
      <c r="E38">
        <f t="shared" si="2"/>
        <v>0.47374706895814733</v>
      </c>
    </row>
    <row r="39" spans="1:5" x14ac:dyDescent="0.25">
      <c r="A39">
        <f t="shared" si="1"/>
        <v>1.6000000000000008</v>
      </c>
      <c r="B39">
        <f t="shared" si="2"/>
        <v>2.250703494385151E-6</v>
      </c>
      <c r="C39">
        <f t="shared" si="2"/>
        <v>9.157819444367063E-2</v>
      </c>
      <c r="D39">
        <f t="shared" si="2"/>
        <v>0.37558514534681309</v>
      </c>
      <c r="E39">
        <f t="shared" si="2"/>
        <v>0.45984930146430264</v>
      </c>
    </row>
    <row r="40" spans="1:5" x14ac:dyDescent="0.25">
      <c r="A40">
        <f t="shared" si="1"/>
        <v>1.6500000000000008</v>
      </c>
      <c r="B40">
        <f t="shared" si="2"/>
        <v>8.4062424879844917E-7</v>
      </c>
      <c r="C40">
        <f t="shared" si="2"/>
        <v>7.326321198898042E-2</v>
      </c>
      <c r="D40">
        <f t="shared" si="2"/>
        <v>0.34598991729480388</v>
      </c>
      <c r="E40">
        <f t="shared" si="2"/>
        <v>0.44505324489726322</v>
      </c>
    </row>
    <row r="41" spans="1:5" x14ac:dyDescent="0.25">
      <c r="A41">
        <f t="shared" si="1"/>
        <v>1.7000000000000008</v>
      </c>
      <c r="B41">
        <f t="shared" si="2"/>
        <v>3.0402889076955913E-7</v>
      </c>
      <c r="C41">
        <f t="shared" si="2"/>
        <v>5.8101577400088707E-2</v>
      </c>
      <c r="D41">
        <f t="shared" si="2"/>
        <v>0.31733028899430538</v>
      </c>
      <c r="E41">
        <f t="shared" si="2"/>
        <v>0.42949805037012329</v>
      </c>
    </row>
    <row r="42" spans="1:5" x14ac:dyDescent="0.25">
      <c r="A42">
        <f t="shared" si="1"/>
        <v>1.7500000000000009</v>
      </c>
      <c r="B42">
        <f t="shared" si="2"/>
        <v>1.0648299160861498E-7</v>
      </c>
      <c r="C42">
        <f t="shared" si="2"/>
        <v>4.5679476270755401E-2</v>
      </c>
      <c r="D42">
        <f t="shared" si="2"/>
        <v>0.2897849287319828</v>
      </c>
      <c r="E42">
        <f t="shared" si="2"/>
        <v>0.41331992359362196</v>
      </c>
    </row>
    <row r="43" spans="1:5" x14ac:dyDescent="0.25">
      <c r="A43">
        <f t="shared" si="1"/>
        <v>1.8000000000000009</v>
      </c>
      <c r="B43">
        <f t="shared" si="2"/>
        <v>3.6117631241675763E-8</v>
      </c>
      <c r="C43">
        <f t="shared" si="2"/>
        <v>3.560464927960718E-2</v>
      </c>
      <c r="D43">
        <f t="shared" si="2"/>
        <v>0.26349806140466026</v>
      </c>
      <c r="E43">
        <f t="shared" si="2"/>
        <v>0.39665102581942779</v>
      </c>
    </row>
    <row r="44" spans="1:5" x14ac:dyDescent="0.25">
      <c r="A44">
        <f t="shared" si="1"/>
        <v>1.850000000000001</v>
      </c>
      <c r="B44">
        <f t="shared" si="2"/>
        <v>1.1864551872837028E-8</v>
      </c>
      <c r="C44">
        <f t="shared" si="2"/>
        <v>2.7514659937310476E-2</v>
      </c>
      <c r="D44">
        <f t="shared" si="2"/>
        <v>0.23858099967125987</v>
      </c>
      <c r="E44">
        <f t="shared" si="2"/>
        <v>0.37961849110992074</v>
      </c>
    </row>
    <row r="45" spans="1:5" x14ac:dyDescent="0.25">
      <c r="A45">
        <f t="shared" si="1"/>
        <v>1.900000000000001</v>
      </c>
      <c r="B45">
        <f t="shared" si="2"/>
        <v>3.774803647447545E-9</v>
      </c>
      <c r="C45">
        <f t="shared" si="2"/>
        <v>2.1081975808627456E-2</v>
      </c>
      <c r="D45">
        <f t="shared" si="2"/>
        <v>0.21511414359293024</v>
      </c>
      <c r="E45">
        <f t="shared" si="2"/>
        <v>0.36234356532543105</v>
      </c>
    </row>
    <row r="46" spans="1:5" x14ac:dyDescent="0.25">
      <c r="A46" s="276">
        <f t="shared" si="1"/>
        <v>1.9500000000000011</v>
      </c>
      <c r="B46" s="276">
        <f t="shared" si="2"/>
        <v>1.1632279474175261E-9</v>
      </c>
      <c r="C46" s="276">
        <f t="shared" si="2"/>
        <v>1.6016391790959372E-2</v>
      </c>
      <c r="D46" s="276">
        <f t="shared" si="2"/>
        <v>0.19314934897309419</v>
      </c>
      <c r="E46" s="276">
        <f t="shared" si="2"/>
        <v>0.34494087003050028</v>
      </c>
    </row>
  </sheetData>
  <pageMargins left="0.7" right="0.7" top="0.75" bottom="0.75" header="0.3" footer="0.3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4"/>
  <dimension ref="A1:C10"/>
  <sheetViews>
    <sheetView workbookViewId="0"/>
  </sheetViews>
  <sheetFormatPr defaultRowHeight="15" x14ac:dyDescent="0.25"/>
  <sheetData>
    <row r="1" spans="1:3" x14ac:dyDescent="0.25">
      <c r="A1" s="1" t="s">
        <v>527</v>
      </c>
    </row>
    <row r="3" spans="1:3" x14ac:dyDescent="0.25">
      <c r="A3" s="53" t="s">
        <v>140</v>
      </c>
      <c r="B3" s="154">
        <v>0.6</v>
      </c>
    </row>
    <row r="4" spans="1:3" x14ac:dyDescent="0.25">
      <c r="A4" s="53" t="s">
        <v>528</v>
      </c>
      <c r="B4" s="163">
        <v>1000</v>
      </c>
    </row>
    <row r="5" spans="1:3" x14ac:dyDescent="0.25">
      <c r="A5" s="53" t="s">
        <v>28</v>
      </c>
      <c r="B5" s="163">
        <v>5000</v>
      </c>
    </row>
    <row r="6" spans="1:3" x14ac:dyDescent="0.25">
      <c r="A6" s="53" t="s">
        <v>250</v>
      </c>
      <c r="B6" s="163">
        <f>WEIBULL(B5,B3,B4,TRUE)</f>
        <v>0.9276708322446483</v>
      </c>
    </row>
    <row r="7" spans="1:3" x14ac:dyDescent="0.25">
      <c r="A7" s="53" t="s">
        <v>529</v>
      </c>
      <c r="B7" s="155">
        <f>1-B6</f>
        <v>7.2329167755351698E-2</v>
      </c>
    </row>
    <row r="10" spans="1:3" x14ac:dyDescent="0.25">
      <c r="A10" t="s">
        <v>530</v>
      </c>
      <c r="C10" s="205">
        <f>1-EXP(-((B5/B4)^B3))</f>
        <v>0.9276708322446483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0"/>
  <dimension ref="A1:D6"/>
  <sheetViews>
    <sheetView workbookViewId="0"/>
  </sheetViews>
  <sheetFormatPr defaultRowHeight="15" x14ac:dyDescent="0.25"/>
  <cols>
    <col min="3" max="3" width="2.85546875" customWidth="1"/>
    <col min="4" max="4" width="46.85546875" customWidth="1"/>
  </cols>
  <sheetData>
    <row r="1" spans="1:4" x14ac:dyDescent="0.25">
      <c r="A1" s="1" t="s">
        <v>527</v>
      </c>
    </row>
    <row r="3" spans="1:4" x14ac:dyDescent="0.25">
      <c r="A3" s="53" t="s">
        <v>528</v>
      </c>
      <c r="B3" s="45">
        <v>2.6882941028327552</v>
      </c>
    </row>
    <row r="4" spans="1:4" x14ac:dyDescent="0.25">
      <c r="A4" t="s">
        <v>1339</v>
      </c>
      <c r="B4" s="163">
        <f>GAMMALN(1+2/B3)-2*GAMMALN(1+1/B3)-LN(1.16)</f>
        <v>6.7363386345434262E-4</v>
      </c>
      <c r="D4" t="e">
        <f ca="1">FTEXT(B4)</f>
        <v>#NAME?</v>
      </c>
    </row>
    <row r="5" spans="1:4" x14ac:dyDescent="0.25">
      <c r="A5" s="53" t="s">
        <v>140</v>
      </c>
      <c r="B5" s="163">
        <f>1000/EXP(GAMMALN(1+1/B3))</f>
        <v>1124.6670231030798</v>
      </c>
      <c r="D5" t="e">
        <f ca="1">FTEXT(B5)</f>
        <v>#NAME?</v>
      </c>
    </row>
    <row r="6" spans="1:4" x14ac:dyDescent="0.25">
      <c r="A6" s="147" t="s">
        <v>1340</v>
      </c>
      <c r="B6" s="155">
        <f>1-_xlfn.WEIBULL.DIST(2000,B3,B5,TRUE)</f>
        <v>9.0960753746842649E-3</v>
      </c>
      <c r="D6" t="e">
        <f ca="1">FTEXT(B6)</f>
        <v>#NAME?</v>
      </c>
    </row>
  </sheetData>
  <pageMargins left="0.7" right="0.7" top="0.75" bottom="0.75" header="0.3" footer="0.3"/>
  <pageSetup paperSize="9"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S27"/>
  <sheetViews>
    <sheetView workbookViewId="0"/>
  </sheetViews>
  <sheetFormatPr defaultRowHeight="15" x14ac:dyDescent="0.25"/>
  <cols>
    <col min="1" max="1" width="6.140625" customWidth="1"/>
    <col min="13" max="13" width="9.140625" style="569"/>
    <col min="17" max="17" width="5.7109375" customWidth="1"/>
  </cols>
  <sheetData>
    <row r="1" spans="1:19" x14ac:dyDescent="0.25">
      <c r="A1" s="1" t="s">
        <v>1635</v>
      </c>
    </row>
    <row r="2" spans="1:19" x14ac:dyDescent="0.25">
      <c r="A2" s="1"/>
    </row>
    <row r="3" spans="1:19" x14ac:dyDescent="0.25">
      <c r="A3" s="24" t="s">
        <v>262</v>
      </c>
      <c r="B3" s="569">
        <v>1120</v>
      </c>
      <c r="C3" s="569">
        <v>1080</v>
      </c>
    </row>
    <row r="4" spans="1:19" x14ac:dyDescent="0.25">
      <c r="A4" s="24" t="s">
        <v>398</v>
      </c>
      <c r="B4" s="569">
        <v>2.2000000000000002</v>
      </c>
      <c r="C4" s="569">
        <v>2.9</v>
      </c>
    </row>
    <row r="6" spans="1:19" x14ac:dyDescent="0.25">
      <c r="A6" s="561" t="s">
        <v>28</v>
      </c>
      <c r="B6" s="561" t="s">
        <v>1636</v>
      </c>
      <c r="C6" s="561" t="s">
        <v>1637</v>
      </c>
      <c r="M6" s="561" t="s">
        <v>250</v>
      </c>
      <c r="N6" s="561" t="s">
        <v>1636</v>
      </c>
      <c r="O6" s="561" t="s">
        <v>1637</v>
      </c>
      <c r="Q6" s="561" t="s">
        <v>177</v>
      </c>
      <c r="R6" s="561" t="s">
        <v>1624</v>
      </c>
      <c r="S6" s="571" t="s">
        <v>1019</v>
      </c>
    </row>
    <row r="7" spans="1:19" x14ac:dyDescent="0.25">
      <c r="A7">
        <v>0</v>
      </c>
      <c r="B7">
        <f>1-WEIBULL($A7,B$4,B$3,TRUE)</f>
        <v>1</v>
      </c>
      <c r="C7">
        <f>1-WEIBULL($A7,C$4,C$3,TRUE)</f>
        <v>1</v>
      </c>
      <c r="M7" s="572">
        <v>0.01</v>
      </c>
      <c r="N7" s="21" t="e">
        <f ca="1">WEIBULL_INV(1-$M7,B$4,B$3)</f>
        <v>#NAME?</v>
      </c>
      <c r="O7" s="21" t="e">
        <f ca="1">WEIBULL_INV(1-$M7,C$4,C$3)</f>
        <v>#NAME?</v>
      </c>
      <c r="Q7">
        <v>0</v>
      </c>
      <c r="R7" s="78" t="e">
        <f ca="1">$B$3*UpperGamma(1+1/$B$4,(Q7/$B$3)^$B$4)/(1-WEIBULL(Q7,$B$4,$B$3,TRUE))-Q7</f>
        <v>#NAME?</v>
      </c>
      <c r="S7" s="78" t="e">
        <f ca="1">Q7+R7</f>
        <v>#NAME?</v>
      </c>
    </row>
    <row r="8" spans="1:19" x14ac:dyDescent="0.25">
      <c r="A8">
        <f>A7+100</f>
        <v>100</v>
      </c>
      <c r="B8">
        <f t="shared" ref="B8:C27" si="0">1-WEIBULL($A8,B$4,B$3,TRUE)</f>
        <v>0.99509484172711282</v>
      </c>
      <c r="C8">
        <f t="shared" si="0"/>
        <v>0.99899341039950473</v>
      </c>
      <c r="M8" s="572">
        <v>0.1</v>
      </c>
      <c r="N8" s="21" t="e">
        <f ca="1">WEIBULL_INV(1-$M8,B$4,B$3)</f>
        <v>#NAME?</v>
      </c>
      <c r="O8" s="21" t="e">
        <f ca="1">WEIBULL_INV(1-$M8,C$4,C$3)</f>
        <v>#NAME?</v>
      </c>
      <c r="Q8">
        <f>Q7+100</f>
        <v>100</v>
      </c>
      <c r="R8" s="78" t="e">
        <f ca="1">$B$3*UpperGamma(1+1/$B$4,(Q8/$B$3)^$B$4)/(1-WEIBULL(Q8,$B$4,$B$3,TRUE))-Q8</f>
        <v>#NAME?</v>
      </c>
      <c r="S8" s="78" t="e">
        <f t="shared" ref="S8:S27" ca="1" si="1">Q8+R8</f>
        <v>#NAME?</v>
      </c>
    </row>
    <row r="9" spans="1:19" x14ac:dyDescent="0.25">
      <c r="A9">
        <f t="shared" ref="A9:A27" si="2">A8+100</f>
        <v>200</v>
      </c>
      <c r="B9">
        <f t="shared" si="0"/>
        <v>0.97765967793562414</v>
      </c>
      <c r="C9">
        <f t="shared" si="0"/>
        <v>0.99251094927189432</v>
      </c>
      <c r="M9" s="572">
        <f t="shared" ref="M9:M16" si="3">M8+0.1</f>
        <v>0.2</v>
      </c>
      <c r="N9" s="21" t="e">
        <f ca="1">WEIBULL_INV(1-$M9,B$4,B$3)</f>
        <v>#NAME?</v>
      </c>
      <c r="O9" s="21" t="e">
        <f ca="1">WEIBULL_INV(1-$M9,C$4,C$3)</f>
        <v>#NAME?</v>
      </c>
      <c r="Q9">
        <f t="shared" ref="Q9:Q27" si="4">Q8+100</f>
        <v>200</v>
      </c>
      <c r="R9" s="78" t="e">
        <f ca="1">$B$3*UpperGamma(1+1/$B$4,(Q9/$B$3)^$B$4)/(1-WEIBULL(Q9,$B$4,$B$3,TRUE))-Q9</f>
        <v>#NAME?</v>
      </c>
      <c r="S9" s="78" t="e">
        <f t="shared" ca="1" si="1"/>
        <v>#NAME?</v>
      </c>
    </row>
    <row r="10" spans="1:19" x14ac:dyDescent="0.25">
      <c r="A10">
        <f t="shared" si="2"/>
        <v>300</v>
      </c>
      <c r="B10">
        <f t="shared" si="0"/>
        <v>0.94636221883503646</v>
      </c>
      <c r="C10">
        <f t="shared" si="0"/>
        <v>0.97593182129160927</v>
      </c>
      <c r="M10" s="572">
        <f t="shared" si="3"/>
        <v>0.30000000000000004</v>
      </c>
      <c r="N10" s="21" t="e">
        <f ca="1">WEIBULL_INV(1-$M10,B$4,B$3)</f>
        <v>#NAME?</v>
      </c>
      <c r="O10" s="21" t="e">
        <f ca="1">WEIBULL_INV(1-$M10,C$4,C$3)</f>
        <v>#NAME?</v>
      </c>
      <c r="Q10">
        <f t="shared" si="4"/>
        <v>300</v>
      </c>
      <c r="R10" s="78" t="e">
        <f ca="1">$B$3*UpperGamma(1+1/$B$4,(Q10/$B$3)^$B$4)/(1-WEIBULL(Q10,$B$4,$B$3,TRUE))-Q10</f>
        <v>#NAME?</v>
      </c>
      <c r="S10" s="78" t="e">
        <f t="shared" ca="1" si="1"/>
        <v>#NAME?</v>
      </c>
    </row>
    <row r="11" spans="1:19" x14ac:dyDescent="0.25">
      <c r="A11">
        <f t="shared" si="2"/>
        <v>400</v>
      </c>
      <c r="B11">
        <f t="shared" si="0"/>
        <v>0.90139371528529311</v>
      </c>
      <c r="C11">
        <f t="shared" si="0"/>
        <v>0.94543454412948313</v>
      </c>
      <c r="M11" s="572">
        <f t="shared" si="3"/>
        <v>0.4</v>
      </c>
      <c r="N11" s="21" t="e">
        <f ca="1">WEIBULL_INV(1-$M11,B$4,B$3)</f>
        <v>#NAME?</v>
      </c>
      <c r="O11" s="21" t="e">
        <f ca="1">WEIBULL_INV(1-$M11,C$4,C$3)</f>
        <v>#NAME?</v>
      </c>
      <c r="Q11">
        <f t="shared" si="4"/>
        <v>400</v>
      </c>
      <c r="R11" s="78" t="e">
        <f ca="1">$B$3*UpperGamma(1+1/$B$4,(Q11/$B$3)^$B$4)/(1-WEIBULL(Q11,$B$4,$B$3,TRUE))-Q11</f>
        <v>#NAME?</v>
      </c>
      <c r="S11" s="78" t="e">
        <f t="shared" ca="1" si="1"/>
        <v>#NAME?</v>
      </c>
    </row>
    <row r="12" spans="1:19" x14ac:dyDescent="0.25">
      <c r="A12">
        <f t="shared" si="2"/>
        <v>500</v>
      </c>
      <c r="B12">
        <f t="shared" si="0"/>
        <v>0.84399295234168137</v>
      </c>
      <c r="C12">
        <f t="shared" si="0"/>
        <v>0.89837052217008173</v>
      </c>
      <c r="M12" s="572">
        <f t="shared" si="3"/>
        <v>0.5</v>
      </c>
      <c r="N12" s="21" t="e">
        <f ca="1">WEIBULL_INV(1-$M12,B$4,B$3)</f>
        <v>#NAME?</v>
      </c>
      <c r="O12" s="21" t="e">
        <f ca="1">WEIBULL_INV(1-$M12,C$4,C$3)</f>
        <v>#NAME?</v>
      </c>
      <c r="Q12">
        <f t="shared" si="4"/>
        <v>500</v>
      </c>
      <c r="R12" s="78" t="e">
        <f ca="1">$B$3*UpperGamma(1+1/$B$4,(Q12/$B$3)^$B$4)/(1-WEIBULL(Q12,$B$4,$B$3,TRUE))-Q12</f>
        <v>#NAME?</v>
      </c>
      <c r="S12" s="78" t="e">
        <f t="shared" ca="1" si="1"/>
        <v>#NAME?</v>
      </c>
    </row>
    <row r="13" spans="1:19" x14ac:dyDescent="0.25">
      <c r="A13">
        <f t="shared" si="2"/>
        <v>600</v>
      </c>
      <c r="B13">
        <f t="shared" si="0"/>
        <v>0.77622686725393564</v>
      </c>
      <c r="C13">
        <f t="shared" si="0"/>
        <v>0.83372763635226099</v>
      </c>
      <c r="M13" s="572">
        <f t="shared" si="3"/>
        <v>0.6</v>
      </c>
      <c r="N13" s="21" t="e">
        <f ca="1">WEIBULL_INV(1-$M13,B$4,B$3)</f>
        <v>#NAME?</v>
      </c>
      <c r="O13" s="21" t="e">
        <f ca="1">WEIBULL_INV(1-$M13,C$4,C$3)</f>
        <v>#NAME?</v>
      </c>
      <c r="Q13">
        <f t="shared" si="4"/>
        <v>600</v>
      </c>
      <c r="R13" s="78" t="e">
        <f ca="1">$B$3*UpperGamma(1+1/$B$4,(Q13/$B$3)^$B$4)/(1-WEIBULL(Q13,$B$4,$B$3,TRUE))-Q13</f>
        <v>#NAME?</v>
      </c>
      <c r="S13" s="78" t="e">
        <f t="shared" ca="1" si="1"/>
        <v>#NAME?</v>
      </c>
    </row>
    <row r="14" spans="1:19" x14ac:dyDescent="0.25">
      <c r="A14">
        <f t="shared" si="2"/>
        <v>700</v>
      </c>
      <c r="B14">
        <f t="shared" si="0"/>
        <v>0.70076761920237018</v>
      </c>
      <c r="C14">
        <f t="shared" si="0"/>
        <v>0.75250214222834888</v>
      </c>
      <c r="M14" s="572">
        <f t="shared" si="3"/>
        <v>0.7</v>
      </c>
      <c r="N14" s="21" t="e">
        <f ca="1">WEIBULL_INV(1-$M14,B$4,B$3)</f>
        <v>#NAME?</v>
      </c>
      <c r="O14" s="21" t="e">
        <f ca="1">WEIBULL_INV(1-$M14,C$4,C$3)</f>
        <v>#NAME?</v>
      </c>
      <c r="Q14">
        <f t="shared" si="4"/>
        <v>700</v>
      </c>
      <c r="R14" s="78" t="e">
        <f ca="1">$B$3*UpperGamma(1+1/$B$4,(Q14/$B$3)^$B$4)/(1-WEIBULL(Q14,$B$4,$B$3,TRUE))-Q14</f>
        <v>#NAME?</v>
      </c>
      <c r="S14" s="78" t="e">
        <f t="shared" ca="1" si="1"/>
        <v>#NAME?</v>
      </c>
    </row>
    <row r="15" spans="1:19" x14ac:dyDescent="0.25">
      <c r="A15">
        <f t="shared" si="2"/>
        <v>800</v>
      </c>
      <c r="B15">
        <f t="shared" si="0"/>
        <v>0.62064256851156441</v>
      </c>
      <c r="C15">
        <f t="shared" si="0"/>
        <v>0.65781963713587532</v>
      </c>
      <c r="M15" s="572">
        <f t="shared" si="3"/>
        <v>0.79999999999999993</v>
      </c>
      <c r="N15" s="21" t="e">
        <f ca="1">WEIBULL_INV(1-$M15,B$4,B$3)</f>
        <v>#NAME?</v>
      </c>
      <c r="O15" s="21" t="e">
        <f ca="1">WEIBULL_INV(1-$M15,C$4,C$3)</f>
        <v>#NAME?</v>
      </c>
      <c r="Q15">
        <f t="shared" si="4"/>
        <v>800</v>
      </c>
      <c r="R15" s="78" t="e">
        <f ca="1">$B$3*UpperGamma(1+1/$B$4,(Q15/$B$3)^$B$4)/(1-WEIBULL(Q15,$B$4,$B$3,TRUE))-Q15</f>
        <v>#NAME?</v>
      </c>
      <c r="S15" s="78" t="e">
        <f t="shared" ca="1" si="1"/>
        <v>#NAME?</v>
      </c>
    </row>
    <row r="16" spans="1:19" x14ac:dyDescent="0.25">
      <c r="A16">
        <f t="shared" si="2"/>
        <v>900</v>
      </c>
      <c r="B16">
        <f t="shared" si="0"/>
        <v>0.53897124134216867</v>
      </c>
      <c r="C16">
        <f t="shared" si="0"/>
        <v>0.55468688765444663</v>
      </c>
      <c r="M16" s="572">
        <f t="shared" si="3"/>
        <v>0.89999999999999991</v>
      </c>
      <c r="N16" s="21" t="e">
        <f ca="1">WEIBULL_INV(1-$M16,B$4,B$3)</f>
        <v>#NAME?</v>
      </c>
      <c r="O16" s="21" t="e">
        <f ca="1">WEIBULL_INV(1-$M16,C$4,C$3)</f>
        <v>#NAME?</v>
      </c>
      <c r="Q16">
        <f t="shared" si="4"/>
        <v>900</v>
      </c>
      <c r="R16" s="78" t="e">
        <f ca="1">$B$3*UpperGamma(1+1/$B$4,(Q16/$B$3)^$B$4)/(1-WEIBULL(Q16,$B$4,$B$3,TRUE))-Q16</f>
        <v>#NAME?</v>
      </c>
      <c r="S16" s="78" t="e">
        <f t="shared" ca="1" si="1"/>
        <v>#NAME?</v>
      </c>
    </row>
    <row r="17" spans="1:19" x14ac:dyDescent="0.25">
      <c r="A17">
        <f t="shared" si="2"/>
        <v>1000</v>
      </c>
      <c r="B17">
        <f t="shared" si="0"/>
        <v>0.45871410596579576</v>
      </c>
      <c r="C17">
        <f t="shared" si="0"/>
        <v>0.44934458918744125</v>
      </c>
      <c r="M17" s="572">
        <v>0.95</v>
      </c>
      <c r="N17" s="21" t="e">
        <f ca="1">WEIBULL_INV(1-$M17,B$4,B$3)</f>
        <v>#NAME?</v>
      </c>
      <c r="O17" s="21" t="e">
        <f ca="1">WEIBULL_INV(1-$M17,C$4,C$3)</f>
        <v>#NAME?</v>
      </c>
      <c r="Q17">
        <f t="shared" si="4"/>
        <v>1000</v>
      </c>
      <c r="R17" s="78" t="e">
        <f ca="1">$B$3*UpperGamma(1+1/$B$4,(Q17/$B$3)^$B$4)/(1-WEIBULL(Q17,$B$4,$B$3,TRUE))-Q17</f>
        <v>#NAME?</v>
      </c>
      <c r="S17" s="78" t="e">
        <f t="shared" ca="1" si="1"/>
        <v>#NAME?</v>
      </c>
    </row>
    <row r="18" spans="1:19" x14ac:dyDescent="0.25">
      <c r="A18">
        <f t="shared" si="2"/>
        <v>1100</v>
      </c>
      <c r="B18">
        <f t="shared" si="0"/>
        <v>0.3824586633659024</v>
      </c>
      <c r="C18">
        <f t="shared" si="0"/>
        <v>0.3483130141688775</v>
      </c>
      <c r="M18" s="573">
        <v>0.99</v>
      </c>
      <c r="N18" s="536" t="e">
        <f ca="1">WEIBULL_INV(1-$M18,B$4,B$3)</f>
        <v>#NAME?</v>
      </c>
      <c r="O18" s="536" t="e">
        <f ca="1">WEIBULL_INV(1-$M18,C$4,C$3)</f>
        <v>#NAME?</v>
      </c>
      <c r="Q18">
        <f t="shared" si="4"/>
        <v>1100</v>
      </c>
      <c r="R18" s="78" t="e">
        <f ca="1">$B$3*UpperGamma(1+1/$B$4,(Q18/$B$3)^$B$4)/(1-WEIBULL(Q18,$B$4,$B$3,TRUE))-Q18</f>
        <v>#NAME?</v>
      </c>
      <c r="S18" s="78" t="e">
        <f t="shared" ca="1" si="1"/>
        <v>#NAME?</v>
      </c>
    </row>
    <row r="19" spans="1:19" x14ac:dyDescent="0.25">
      <c r="A19">
        <f t="shared" si="2"/>
        <v>1200</v>
      </c>
      <c r="B19">
        <f t="shared" si="0"/>
        <v>0.31226310094993492</v>
      </c>
      <c r="C19">
        <f t="shared" si="0"/>
        <v>0.25733790876870744</v>
      </c>
      <c r="M19"/>
      <c r="Q19">
        <f t="shared" si="4"/>
        <v>1200</v>
      </c>
      <c r="R19" s="78" t="e">
        <f ca="1">$B$3*UpperGamma(1+1/$B$4,(Q19/$B$3)^$B$4)/(1-WEIBULL(Q19,$B$4,$B$3,TRUE))-Q19</f>
        <v>#NAME?</v>
      </c>
      <c r="S19" s="78" t="e">
        <f t="shared" ca="1" si="1"/>
        <v>#NAME?</v>
      </c>
    </row>
    <row r="20" spans="1:19" x14ac:dyDescent="0.25">
      <c r="A20">
        <f t="shared" si="2"/>
        <v>1300</v>
      </c>
      <c r="B20">
        <f t="shared" si="0"/>
        <v>0.24956896127261907</v>
      </c>
      <c r="C20">
        <f t="shared" si="0"/>
        <v>0.18050223774939689</v>
      </c>
      <c r="M20" s="561" t="s">
        <v>1019</v>
      </c>
      <c r="N20" s="574">
        <f>B3*EXP(GAMMALN(1+1/B4))</f>
        <v>991.8997317042315</v>
      </c>
      <c r="O20" s="574">
        <f>C3*EXP(GAMMALN(1+1/C4))</f>
        <v>963.02477682757001</v>
      </c>
      <c r="Q20">
        <f t="shared" si="4"/>
        <v>1300</v>
      </c>
      <c r="R20" s="78" t="e">
        <f ca="1">$B$3*UpperGamma(1+1/$B$4,(Q20/$B$3)^$B$4)/(1-WEIBULL(Q20,$B$4,$B$3,TRUE))-Q20</f>
        <v>#NAME?</v>
      </c>
      <c r="S20" s="78" t="e">
        <f t="shared" ca="1" si="1"/>
        <v>#NAME?</v>
      </c>
    </row>
    <row r="21" spans="1:19" x14ac:dyDescent="0.25">
      <c r="A21">
        <f t="shared" si="2"/>
        <v>1400</v>
      </c>
      <c r="B21">
        <f t="shared" si="0"/>
        <v>0.19518415119971322</v>
      </c>
      <c r="C21">
        <f t="shared" si="0"/>
        <v>0.11973501760578686</v>
      </c>
      <c r="Q21">
        <f t="shared" si="4"/>
        <v>1400</v>
      </c>
      <c r="R21" s="78" t="e">
        <f ca="1">$B$3*UpperGamma(1+1/$B$4,(Q21/$B$3)^$B$4)/(1-WEIBULL(Q21,$B$4,$B$3,TRUE))-Q21</f>
        <v>#NAME?</v>
      </c>
      <c r="S21" s="78" t="e">
        <f t="shared" ca="1" si="1"/>
        <v>#NAME?</v>
      </c>
    </row>
    <row r="22" spans="1:19" x14ac:dyDescent="0.25">
      <c r="A22">
        <f t="shared" si="2"/>
        <v>1500</v>
      </c>
      <c r="B22">
        <f t="shared" si="0"/>
        <v>0.14932822489755238</v>
      </c>
      <c r="C22">
        <f t="shared" si="0"/>
        <v>7.4825132492996826E-2</v>
      </c>
      <c r="Q22">
        <f t="shared" si="4"/>
        <v>1500</v>
      </c>
      <c r="R22" s="78" t="e">
        <f ca="1">$B$3*UpperGamma(1+1/$B$4,(Q22/$B$3)^$B$4)/(1-WEIBULL(Q22,$B$4,$B$3,TRUE))-Q22</f>
        <v>#NAME?</v>
      </c>
      <c r="S22" s="78" t="e">
        <f t="shared" ca="1" si="1"/>
        <v>#NAME?</v>
      </c>
    </row>
    <row r="23" spans="1:19" x14ac:dyDescent="0.25">
      <c r="A23">
        <f t="shared" si="2"/>
        <v>1600</v>
      </c>
      <c r="B23">
        <f t="shared" si="0"/>
        <v>0.11172484505666369</v>
      </c>
      <c r="C23">
        <f t="shared" si="0"/>
        <v>4.3883514360712472E-2</v>
      </c>
      <c r="Q23">
        <f t="shared" si="4"/>
        <v>1600</v>
      </c>
      <c r="R23" s="78" t="e">
        <f ca="1">$B$3*UpperGamma(1+1/$B$4,(Q23/$B$3)^$B$4)/(1-WEIBULL(Q23,$B$4,$B$3,TRUE))-Q23</f>
        <v>#NAME?</v>
      </c>
      <c r="S23" s="78" t="e">
        <f t="shared" ca="1" si="1"/>
        <v>#NAME?</v>
      </c>
    </row>
    <row r="24" spans="1:19" x14ac:dyDescent="0.25">
      <c r="A24">
        <f t="shared" si="2"/>
        <v>1700</v>
      </c>
      <c r="B24">
        <f t="shared" si="0"/>
        <v>8.1722600052817396E-2</v>
      </c>
      <c r="C24">
        <f t="shared" si="0"/>
        <v>2.4062116294228053E-2</v>
      </c>
      <c r="Q24">
        <f t="shared" si="4"/>
        <v>1700</v>
      </c>
      <c r="R24" s="78" t="e">
        <f ca="1">$B$3*UpperGamma(1+1/$B$4,(Q24/$B$3)^$B$4)/(1-WEIBULL(Q24,$B$4,$B$3,TRUE))-Q24</f>
        <v>#NAME?</v>
      </c>
      <c r="S24" s="78" t="e">
        <f t="shared" ca="1" si="1"/>
        <v>#NAME?</v>
      </c>
    </row>
    <row r="25" spans="1:19" x14ac:dyDescent="0.25">
      <c r="A25">
        <f t="shared" si="2"/>
        <v>1800</v>
      </c>
      <c r="B25">
        <f t="shared" si="0"/>
        <v>5.8425084728063847E-2</v>
      </c>
      <c r="C25">
        <f t="shared" si="0"/>
        <v>1.2288700757454918E-2</v>
      </c>
      <c r="Q25">
        <f t="shared" si="4"/>
        <v>1800</v>
      </c>
      <c r="R25" s="78" t="e">
        <f ca="1">$B$3*UpperGamma(1+1/$B$4,(Q25/$B$3)^$B$4)/(1-WEIBULL(Q25,$B$4,$B$3,TRUE))-Q25</f>
        <v>#NAME?</v>
      </c>
      <c r="S25" s="78" t="e">
        <f t="shared" ca="1" si="1"/>
        <v>#NAME?</v>
      </c>
    </row>
    <row r="26" spans="1:19" x14ac:dyDescent="0.25">
      <c r="A26">
        <f t="shared" si="2"/>
        <v>1900</v>
      </c>
      <c r="B26">
        <f t="shared" si="0"/>
        <v>4.0813797823812337E-2</v>
      </c>
      <c r="C26">
        <f t="shared" si="0"/>
        <v>5.823561641729369E-3</v>
      </c>
      <c r="E26">
        <f>B23/B15</f>
        <v>0.18001479551201929</v>
      </c>
      <c r="Q26">
        <f t="shared" si="4"/>
        <v>1900</v>
      </c>
      <c r="R26" s="78" t="e">
        <f ca="1">$B$3*UpperGamma(1+1/$B$4,(Q26/$B$3)^$B$4)/(1-WEIBULL(Q26,$B$4,$B$3,TRUE))-Q26</f>
        <v>#NAME?</v>
      </c>
      <c r="S26" s="78" t="e">
        <f t="shared" ca="1" si="1"/>
        <v>#NAME?</v>
      </c>
    </row>
    <row r="27" spans="1:19" x14ac:dyDescent="0.25">
      <c r="A27">
        <f t="shared" si="2"/>
        <v>2000</v>
      </c>
      <c r="B27">
        <f t="shared" si="0"/>
        <v>2.7851965392809763E-2</v>
      </c>
      <c r="C27">
        <f t="shared" si="0"/>
        <v>2.5513016825902124E-3</v>
      </c>
      <c r="Q27" s="276">
        <f t="shared" si="4"/>
        <v>2000</v>
      </c>
      <c r="R27" s="409" t="e">
        <f ca="1">$B$3*UpperGamma(1+1/$B$4,(Q27/$B$3)^$B$4)/(1-WEIBULL(Q27,$B$4,$B$3,TRUE))-Q27</f>
        <v>#NAME?</v>
      </c>
      <c r="S27" s="409" t="e">
        <f t="shared" ca="1" si="1"/>
        <v>#NAME?</v>
      </c>
    </row>
  </sheetData>
  <pageMargins left="0.7" right="0.7" top="0.75" bottom="0.75" header="0.3" footer="0.3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I1002"/>
  <sheetViews>
    <sheetView workbookViewId="0">
      <selection activeCell="B9" sqref="B9"/>
    </sheetView>
  </sheetViews>
  <sheetFormatPr defaultRowHeight="15" x14ac:dyDescent="0.25"/>
  <cols>
    <col min="3" max="3" width="6.42578125" customWidth="1"/>
    <col min="7" max="7" width="3.42578125" customWidth="1"/>
  </cols>
  <sheetData>
    <row r="1" spans="1:9" x14ac:dyDescent="0.25">
      <c r="A1" s="1" t="s">
        <v>1622</v>
      </c>
    </row>
    <row r="2" spans="1:9" x14ac:dyDescent="0.25">
      <c r="E2" s="561" t="s">
        <v>488</v>
      </c>
      <c r="F2" s="561" t="s">
        <v>1623</v>
      </c>
    </row>
    <row r="3" spans="1:9" x14ac:dyDescent="0.25">
      <c r="A3" t="s">
        <v>262</v>
      </c>
      <c r="B3">
        <v>1120</v>
      </c>
      <c r="D3">
        <v>1</v>
      </c>
      <c r="E3" t="e">
        <f ca="1">RANDOM($B$7)</f>
        <v>#NAME?</v>
      </c>
      <c r="F3" t="e">
        <f ca="1">WEIBULL_INV(E3,$B$4,$B$3)</f>
        <v>#NAME?</v>
      </c>
      <c r="H3" t="s">
        <v>1624</v>
      </c>
      <c r="I3" s="45" t="e">
        <f ca="1">AVERAGE(F3:F1002)-B6</f>
        <v>#NAME?</v>
      </c>
    </row>
    <row r="4" spans="1:9" x14ac:dyDescent="0.25">
      <c r="A4" t="s">
        <v>398</v>
      </c>
      <c r="B4">
        <v>2.2000000000000002</v>
      </c>
      <c r="D4">
        <f>D3+1</f>
        <v>2</v>
      </c>
      <c r="E4" t="e">
        <f ca="1">RANDOM($B$7)</f>
        <v>#NAME?</v>
      </c>
      <c r="F4" t="e">
        <f ca="1">WEIBULL_INV(E4,$B$4,$B$3)</f>
        <v>#NAME?</v>
      </c>
      <c r="H4" t="s">
        <v>1625</v>
      </c>
      <c r="I4" s="155" t="e">
        <f ca="1">VAR(F3:F1002)</f>
        <v>#NAME?</v>
      </c>
    </row>
    <row r="5" spans="1:9" x14ac:dyDescent="0.25">
      <c r="A5" t="s">
        <v>1019</v>
      </c>
      <c r="B5">
        <f>B3*_xlfn.GAMMA(1+1/B4)</f>
        <v>991.8997317042315</v>
      </c>
      <c r="D5">
        <f t="shared" ref="D5:D68" si="0">D4+1</f>
        <v>3</v>
      </c>
      <c r="E5" t="e">
        <f ca="1">RANDOM($B$7)</f>
        <v>#NAME?</v>
      </c>
      <c r="F5" t="e">
        <f ca="1">WEIBULL_INV(E5,$B$4,$B$3)</f>
        <v>#NAME?</v>
      </c>
    </row>
    <row r="6" spans="1:9" x14ac:dyDescent="0.25">
      <c r="A6" t="s">
        <v>177</v>
      </c>
      <c r="B6" s="42">
        <v>2000</v>
      </c>
      <c r="D6">
        <f t="shared" si="0"/>
        <v>4</v>
      </c>
      <c r="E6" t="e">
        <f ca="1">RANDOM($B$7)</f>
        <v>#NAME?</v>
      </c>
      <c r="F6" t="e">
        <f ca="1">WEIBULL_INV(E6,$B$4,$B$3)</f>
        <v>#NAME?</v>
      </c>
    </row>
    <row r="7" spans="1:9" x14ac:dyDescent="0.25">
      <c r="A7" t="s">
        <v>1626</v>
      </c>
      <c r="B7">
        <f>WEIBULL(B6,B4,B3,TRUE)</f>
        <v>0.97214803460719024</v>
      </c>
      <c r="D7">
        <f t="shared" si="0"/>
        <v>5</v>
      </c>
      <c r="E7" t="e">
        <f ca="1">RANDOM($B$7)</f>
        <v>#NAME?</v>
      </c>
      <c r="F7" t="e">
        <f ca="1">WEIBULL_INV(E7,$B$4,$B$3)</f>
        <v>#NAME?</v>
      </c>
    </row>
    <row r="8" spans="1:9" x14ac:dyDescent="0.25">
      <c r="A8" t="s">
        <v>1627</v>
      </c>
      <c r="B8" t="e">
        <f ca="1">B3*UpperGamma(1+1/B4,(B6/B3)^B4)/(1-B7)-B6</f>
        <v>#NAME?</v>
      </c>
      <c r="D8">
        <f t="shared" si="0"/>
        <v>6</v>
      </c>
      <c r="E8" t="e">
        <f ca="1">RANDOM($B$7)</f>
        <v>#NAME?</v>
      </c>
      <c r="F8" t="e">
        <f ca="1">WEIBULL_INV(E8,$B$4,$B$3)</f>
        <v>#NAME?</v>
      </c>
    </row>
    <row r="9" spans="1:9" x14ac:dyDescent="0.25">
      <c r="A9" t="s">
        <v>1634</v>
      </c>
      <c r="B9" t="e">
        <f ca="1">WEIBULL_MRL(B6,B3,B4)</f>
        <v>#NAME?</v>
      </c>
      <c r="D9">
        <f t="shared" si="0"/>
        <v>7</v>
      </c>
      <c r="E9" t="e">
        <f ca="1">RANDOM($B$7)</f>
        <v>#NAME?</v>
      </c>
      <c r="F9" t="e">
        <f ca="1">WEIBULL_INV(E9,$B$4,$B$3)</f>
        <v>#NAME?</v>
      </c>
    </row>
    <row r="10" spans="1:9" x14ac:dyDescent="0.25">
      <c r="D10">
        <f t="shared" si="0"/>
        <v>8</v>
      </c>
      <c r="E10" t="e">
        <f ca="1">RANDOM($B$7)</f>
        <v>#NAME?</v>
      </c>
      <c r="F10" t="e">
        <f ca="1">WEIBULL_INV(E10,$B$4,$B$3)</f>
        <v>#NAME?</v>
      </c>
    </row>
    <row r="11" spans="1:9" x14ac:dyDescent="0.25">
      <c r="D11">
        <f t="shared" si="0"/>
        <v>9</v>
      </c>
      <c r="E11" t="e">
        <f ca="1">RANDOM($B$7)</f>
        <v>#NAME?</v>
      </c>
      <c r="F11" t="e">
        <f ca="1">WEIBULL_INV(E11,$B$4,$B$3)</f>
        <v>#NAME?</v>
      </c>
    </row>
    <row r="12" spans="1:9" x14ac:dyDescent="0.25">
      <c r="D12">
        <f t="shared" si="0"/>
        <v>10</v>
      </c>
      <c r="E12" t="e">
        <f ca="1">RANDOM($B$7)</f>
        <v>#NAME?</v>
      </c>
      <c r="F12" t="e">
        <f ca="1">WEIBULL_INV(E12,$B$4,$B$3)</f>
        <v>#NAME?</v>
      </c>
    </row>
    <row r="13" spans="1:9" x14ac:dyDescent="0.25">
      <c r="D13">
        <f t="shared" si="0"/>
        <v>11</v>
      </c>
      <c r="E13" t="e">
        <f ca="1">RANDOM($B$7)</f>
        <v>#NAME?</v>
      </c>
      <c r="F13" t="e">
        <f ca="1">WEIBULL_INV(E13,$B$4,$B$3)</f>
        <v>#NAME?</v>
      </c>
    </row>
    <row r="14" spans="1:9" x14ac:dyDescent="0.25">
      <c r="D14">
        <f t="shared" si="0"/>
        <v>12</v>
      </c>
      <c r="E14" t="e">
        <f ca="1">RANDOM($B$7)</f>
        <v>#NAME?</v>
      </c>
      <c r="F14" t="e">
        <f ca="1">WEIBULL_INV(E14,$B$4,$B$3)</f>
        <v>#NAME?</v>
      </c>
    </row>
    <row r="15" spans="1:9" x14ac:dyDescent="0.25">
      <c r="D15">
        <f t="shared" si="0"/>
        <v>13</v>
      </c>
      <c r="E15" t="e">
        <f ca="1">RANDOM($B$7)</f>
        <v>#NAME?</v>
      </c>
      <c r="F15" t="e">
        <f ca="1">WEIBULL_INV(E15,$B$4,$B$3)</f>
        <v>#NAME?</v>
      </c>
    </row>
    <row r="16" spans="1:9" x14ac:dyDescent="0.25">
      <c r="D16">
        <f t="shared" si="0"/>
        <v>14</v>
      </c>
      <c r="E16" t="e">
        <f ca="1">RANDOM($B$7)</f>
        <v>#NAME?</v>
      </c>
      <c r="F16" t="e">
        <f ca="1">WEIBULL_INV(E16,$B$4,$B$3)</f>
        <v>#NAME?</v>
      </c>
    </row>
    <row r="17" spans="4:6" x14ac:dyDescent="0.25">
      <c r="D17">
        <f t="shared" si="0"/>
        <v>15</v>
      </c>
      <c r="E17" t="e">
        <f ca="1">RANDOM($B$7)</f>
        <v>#NAME?</v>
      </c>
      <c r="F17" t="e">
        <f ca="1">WEIBULL_INV(E17,$B$4,$B$3)</f>
        <v>#NAME?</v>
      </c>
    </row>
    <row r="18" spans="4:6" x14ac:dyDescent="0.25">
      <c r="D18">
        <f>D17+1</f>
        <v>16</v>
      </c>
      <c r="E18" t="e">
        <f ca="1">RANDOM($B$7)</f>
        <v>#NAME?</v>
      </c>
      <c r="F18" t="e">
        <f ca="1">WEIBULL_INV(E18,$B$4,$B$3)</f>
        <v>#NAME?</v>
      </c>
    </row>
    <row r="19" spans="4:6" x14ac:dyDescent="0.25">
      <c r="D19">
        <f t="shared" si="0"/>
        <v>17</v>
      </c>
      <c r="E19" t="e">
        <f ca="1">RANDOM($B$7)</f>
        <v>#NAME?</v>
      </c>
      <c r="F19" t="e">
        <f ca="1">WEIBULL_INV(E19,$B$4,$B$3)</f>
        <v>#NAME?</v>
      </c>
    </row>
    <row r="20" spans="4:6" x14ac:dyDescent="0.25">
      <c r="D20">
        <f t="shared" si="0"/>
        <v>18</v>
      </c>
      <c r="E20" t="e">
        <f ca="1">RANDOM($B$7)</f>
        <v>#NAME?</v>
      </c>
      <c r="F20" t="e">
        <f ca="1">WEIBULL_INV(E20,$B$4,$B$3)</f>
        <v>#NAME?</v>
      </c>
    </row>
    <row r="21" spans="4:6" x14ac:dyDescent="0.25">
      <c r="D21">
        <f t="shared" si="0"/>
        <v>19</v>
      </c>
      <c r="E21" t="e">
        <f ca="1">RANDOM($B$7)</f>
        <v>#NAME?</v>
      </c>
      <c r="F21" t="e">
        <f ca="1">WEIBULL_INV(E21,$B$4,$B$3)</f>
        <v>#NAME?</v>
      </c>
    </row>
    <row r="22" spans="4:6" x14ac:dyDescent="0.25">
      <c r="D22">
        <f t="shared" si="0"/>
        <v>20</v>
      </c>
      <c r="E22" t="e">
        <f ca="1">RANDOM($B$7)</f>
        <v>#NAME?</v>
      </c>
      <c r="F22" t="e">
        <f ca="1">WEIBULL_INV(E22,$B$4,$B$3)</f>
        <v>#NAME?</v>
      </c>
    </row>
    <row r="23" spans="4:6" x14ac:dyDescent="0.25">
      <c r="D23">
        <f t="shared" si="0"/>
        <v>21</v>
      </c>
      <c r="E23" t="e">
        <f ca="1">RANDOM($B$7)</f>
        <v>#NAME?</v>
      </c>
      <c r="F23" t="e">
        <f ca="1">WEIBULL_INV(E23,$B$4,$B$3)</f>
        <v>#NAME?</v>
      </c>
    </row>
    <row r="24" spans="4:6" x14ac:dyDescent="0.25">
      <c r="D24">
        <f t="shared" si="0"/>
        <v>22</v>
      </c>
      <c r="E24" t="e">
        <f ca="1">RANDOM($B$7)</f>
        <v>#NAME?</v>
      </c>
      <c r="F24" t="e">
        <f ca="1">WEIBULL_INV(E24,$B$4,$B$3)</f>
        <v>#NAME?</v>
      </c>
    </row>
    <row r="25" spans="4:6" x14ac:dyDescent="0.25">
      <c r="D25">
        <f t="shared" si="0"/>
        <v>23</v>
      </c>
      <c r="E25" t="e">
        <f ca="1">RANDOM($B$7)</f>
        <v>#NAME?</v>
      </c>
      <c r="F25" t="e">
        <f ca="1">WEIBULL_INV(E25,$B$4,$B$3)</f>
        <v>#NAME?</v>
      </c>
    </row>
    <row r="26" spans="4:6" x14ac:dyDescent="0.25">
      <c r="D26">
        <f t="shared" si="0"/>
        <v>24</v>
      </c>
      <c r="E26" t="e">
        <f ca="1">RANDOM($B$7)</f>
        <v>#NAME?</v>
      </c>
      <c r="F26" t="e">
        <f ca="1">WEIBULL_INV(E26,$B$4,$B$3)</f>
        <v>#NAME?</v>
      </c>
    </row>
    <row r="27" spans="4:6" x14ac:dyDescent="0.25">
      <c r="D27">
        <f t="shared" si="0"/>
        <v>25</v>
      </c>
      <c r="E27" t="e">
        <f ca="1">RANDOM($B$7)</f>
        <v>#NAME?</v>
      </c>
      <c r="F27" t="e">
        <f ca="1">WEIBULL_INV(E27,$B$4,$B$3)</f>
        <v>#NAME?</v>
      </c>
    </row>
    <row r="28" spans="4:6" x14ac:dyDescent="0.25">
      <c r="D28">
        <f t="shared" si="0"/>
        <v>26</v>
      </c>
      <c r="E28" t="e">
        <f ca="1">RANDOM($B$7)</f>
        <v>#NAME?</v>
      </c>
      <c r="F28" t="e">
        <f ca="1">WEIBULL_INV(E28,$B$4,$B$3)</f>
        <v>#NAME?</v>
      </c>
    </row>
    <row r="29" spans="4:6" x14ac:dyDescent="0.25">
      <c r="D29">
        <f t="shared" si="0"/>
        <v>27</v>
      </c>
      <c r="E29" t="e">
        <f ca="1">RANDOM($B$7)</f>
        <v>#NAME?</v>
      </c>
      <c r="F29" t="e">
        <f ca="1">WEIBULL_INV(E29,$B$4,$B$3)</f>
        <v>#NAME?</v>
      </c>
    </row>
    <row r="30" spans="4:6" x14ac:dyDescent="0.25">
      <c r="D30">
        <f t="shared" si="0"/>
        <v>28</v>
      </c>
      <c r="E30" t="e">
        <f ca="1">RANDOM($B$7)</f>
        <v>#NAME?</v>
      </c>
      <c r="F30" t="e">
        <f ca="1">WEIBULL_INV(E30,$B$4,$B$3)</f>
        <v>#NAME?</v>
      </c>
    </row>
    <row r="31" spans="4:6" x14ac:dyDescent="0.25">
      <c r="D31">
        <f t="shared" si="0"/>
        <v>29</v>
      </c>
      <c r="E31" t="e">
        <f ca="1">RANDOM($B$7)</f>
        <v>#NAME?</v>
      </c>
      <c r="F31" t="e">
        <f ca="1">WEIBULL_INV(E31,$B$4,$B$3)</f>
        <v>#NAME?</v>
      </c>
    </row>
    <row r="32" spans="4:6" x14ac:dyDescent="0.25">
      <c r="D32">
        <f t="shared" si="0"/>
        <v>30</v>
      </c>
      <c r="E32" t="e">
        <f ca="1">RANDOM($B$7)</f>
        <v>#NAME?</v>
      </c>
      <c r="F32" t="e">
        <f ca="1">WEIBULL_INV(E32,$B$4,$B$3)</f>
        <v>#NAME?</v>
      </c>
    </row>
    <row r="33" spans="4:6" x14ac:dyDescent="0.25">
      <c r="D33">
        <f t="shared" si="0"/>
        <v>31</v>
      </c>
      <c r="E33" t="e">
        <f ca="1">RANDOM($B$7)</f>
        <v>#NAME?</v>
      </c>
      <c r="F33" t="e">
        <f ca="1">WEIBULL_INV(E33,$B$4,$B$3)</f>
        <v>#NAME?</v>
      </c>
    </row>
    <row r="34" spans="4:6" x14ac:dyDescent="0.25">
      <c r="D34">
        <f t="shared" si="0"/>
        <v>32</v>
      </c>
      <c r="E34" t="e">
        <f ca="1">RANDOM($B$7)</f>
        <v>#NAME?</v>
      </c>
      <c r="F34" t="e">
        <f ca="1">WEIBULL_INV(E34,$B$4,$B$3)</f>
        <v>#NAME?</v>
      </c>
    </row>
    <row r="35" spans="4:6" x14ac:dyDescent="0.25">
      <c r="D35">
        <f t="shared" si="0"/>
        <v>33</v>
      </c>
      <c r="E35" t="e">
        <f ca="1">RANDOM($B$7)</f>
        <v>#NAME?</v>
      </c>
      <c r="F35" t="e">
        <f ca="1">WEIBULL_INV(E35,$B$4,$B$3)</f>
        <v>#NAME?</v>
      </c>
    </row>
    <row r="36" spans="4:6" x14ac:dyDescent="0.25">
      <c r="D36">
        <f t="shared" si="0"/>
        <v>34</v>
      </c>
      <c r="E36" t="e">
        <f ca="1">RANDOM($B$7)</f>
        <v>#NAME?</v>
      </c>
      <c r="F36" t="e">
        <f ca="1">WEIBULL_INV(E36,$B$4,$B$3)</f>
        <v>#NAME?</v>
      </c>
    </row>
    <row r="37" spans="4:6" x14ac:dyDescent="0.25">
      <c r="D37">
        <f t="shared" si="0"/>
        <v>35</v>
      </c>
      <c r="E37" t="e">
        <f ca="1">RANDOM($B$7)</f>
        <v>#NAME?</v>
      </c>
      <c r="F37" t="e">
        <f ca="1">WEIBULL_INV(E37,$B$4,$B$3)</f>
        <v>#NAME?</v>
      </c>
    </row>
    <row r="38" spans="4:6" x14ac:dyDescent="0.25">
      <c r="D38">
        <f t="shared" si="0"/>
        <v>36</v>
      </c>
      <c r="E38" t="e">
        <f ca="1">RANDOM($B$7)</f>
        <v>#NAME?</v>
      </c>
      <c r="F38" t="e">
        <f ca="1">WEIBULL_INV(E38,$B$4,$B$3)</f>
        <v>#NAME?</v>
      </c>
    </row>
    <row r="39" spans="4:6" x14ac:dyDescent="0.25">
      <c r="D39">
        <f t="shared" si="0"/>
        <v>37</v>
      </c>
      <c r="E39" t="e">
        <f ca="1">RANDOM($B$7)</f>
        <v>#NAME?</v>
      </c>
      <c r="F39" t="e">
        <f ca="1">WEIBULL_INV(E39,$B$4,$B$3)</f>
        <v>#NAME?</v>
      </c>
    </row>
    <row r="40" spans="4:6" x14ac:dyDescent="0.25">
      <c r="D40">
        <f t="shared" si="0"/>
        <v>38</v>
      </c>
      <c r="E40" t="e">
        <f ca="1">RANDOM($B$7)</f>
        <v>#NAME?</v>
      </c>
      <c r="F40" t="e">
        <f ca="1">WEIBULL_INV(E40,$B$4,$B$3)</f>
        <v>#NAME?</v>
      </c>
    </row>
    <row r="41" spans="4:6" x14ac:dyDescent="0.25">
      <c r="D41">
        <f t="shared" si="0"/>
        <v>39</v>
      </c>
      <c r="E41" t="e">
        <f ca="1">RANDOM($B$7)</f>
        <v>#NAME?</v>
      </c>
      <c r="F41" t="e">
        <f ca="1">WEIBULL_INV(E41,$B$4,$B$3)</f>
        <v>#NAME?</v>
      </c>
    </row>
    <row r="42" spans="4:6" x14ac:dyDescent="0.25">
      <c r="D42">
        <f t="shared" si="0"/>
        <v>40</v>
      </c>
      <c r="E42" t="e">
        <f ca="1">RANDOM($B$7)</f>
        <v>#NAME?</v>
      </c>
      <c r="F42" t="e">
        <f ca="1">WEIBULL_INV(E42,$B$4,$B$3)</f>
        <v>#NAME?</v>
      </c>
    </row>
    <row r="43" spans="4:6" x14ac:dyDescent="0.25">
      <c r="D43">
        <f t="shared" si="0"/>
        <v>41</v>
      </c>
      <c r="E43" t="e">
        <f ca="1">RANDOM($B$7)</f>
        <v>#NAME?</v>
      </c>
      <c r="F43" t="e">
        <f ca="1">WEIBULL_INV(E43,$B$4,$B$3)</f>
        <v>#NAME?</v>
      </c>
    </row>
    <row r="44" spans="4:6" x14ac:dyDescent="0.25">
      <c r="D44">
        <f t="shared" si="0"/>
        <v>42</v>
      </c>
      <c r="E44" t="e">
        <f ca="1">RANDOM($B$7)</f>
        <v>#NAME?</v>
      </c>
      <c r="F44" t="e">
        <f ca="1">WEIBULL_INV(E44,$B$4,$B$3)</f>
        <v>#NAME?</v>
      </c>
    </row>
    <row r="45" spans="4:6" x14ac:dyDescent="0.25">
      <c r="D45">
        <f t="shared" si="0"/>
        <v>43</v>
      </c>
      <c r="E45" t="e">
        <f ca="1">RANDOM($B$7)</f>
        <v>#NAME?</v>
      </c>
      <c r="F45" t="e">
        <f ca="1">WEIBULL_INV(E45,$B$4,$B$3)</f>
        <v>#NAME?</v>
      </c>
    </row>
    <row r="46" spans="4:6" x14ac:dyDescent="0.25">
      <c r="D46">
        <f t="shared" si="0"/>
        <v>44</v>
      </c>
      <c r="E46" t="e">
        <f ca="1">RANDOM($B$7)</f>
        <v>#NAME?</v>
      </c>
      <c r="F46" t="e">
        <f ca="1">WEIBULL_INV(E46,$B$4,$B$3)</f>
        <v>#NAME?</v>
      </c>
    </row>
    <row r="47" spans="4:6" x14ac:dyDescent="0.25">
      <c r="D47">
        <f t="shared" si="0"/>
        <v>45</v>
      </c>
      <c r="E47" t="e">
        <f ca="1">RANDOM($B$7)</f>
        <v>#NAME?</v>
      </c>
      <c r="F47" t="e">
        <f ca="1">WEIBULL_INV(E47,$B$4,$B$3)</f>
        <v>#NAME?</v>
      </c>
    </row>
    <row r="48" spans="4:6" x14ac:dyDescent="0.25">
      <c r="D48">
        <f t="shared" si="0"/>
        <v>46</v>
      </c>
      <c r="E48" t="e">
        <f ca="1">RANDOM($B$7)</f>
        <v>#NAME?</v>
      </c>
      <c r="F48" t="e">
        <f ca="1">WEIBULL_INV(E48,$B$4,$B$3)</f>
        <v>#NAME?</v>
      </c>
    </row>
    <row r="49" spans="4:6" x14ac:dyDescent="0.25">
      <c r="D49">
        <f t="shared" si="0"/>
        <v>47</v>
      </c>
      <c r="E49" t="e">
        <f ca="1">RANDOM($B$7)</f>
        <v>#NAME?</v>
      </c>
      <c r="F49" t="e">
        <f ca="1">WEIBULL_INV(E49,$B$4,$B$3)</f>
        <v>#NAME?</v>
      </c>
    </row>
    <row r="50" spans="4:6" x14ac:dyDescent="0.25">
      <c r="D50">
        <f t="shared" si="0"/>
        <v>48</v>
      </c>
      <c r="E50" t="e">
        <f ca="1">RANDOM($B$7)</f>
        <v>#NAME?</v>
      </c>
      <c r="F50" t="e">
        <f ca="1">WEIBULL_INV(E50,$B$4,$B$3)</f>
        <v>#NAME?</v>
      </c>
    </row>
    <row r="51" spans="4:6" x14ac:dyDescent="0.25">
      <c r="D51">
        <f t="shared" si="0"/>
        <v>49</v>
      </c>
      <c r="E51" t="e">
        <f ca="1">RANDOM($B$7)</f>
        <v>#NAME?</v>
      </c>
      <c r="F51" t="e">
        <f ca="1">WEIBULL_INV(E51,$B$4,$B$3)</f>
        <v>#NAME?</v>
      </c>
    </row>
    <row r="52" spans="4:6" x14ac:dyDescent="0.25">
      <c r="D52">
        <f t="shared" si="0"/>
        <v>50</v>
      </c>
      <c r="E52" t="e">
        <f ca="1">RANDOM($B$7)</f>
        <v>#NAME?</v>
      </c>
      <c r="F52" t="e">
        <f ca="1">WEIBULL_INV(E52,$B$4,$B$3)</f>
        <v>#NAME?</v>
      </c>
    </row>
    <row r="53" spans="4:6" x14ac:dyDescent="0.25">
      <c r="D53">
        <f t="shared" si="0"/>
        <v>51</v>
      </c>
      <c r="E53" t="e">
        <f ca="1">RANDOM($B$7)</f>
        <v>#NAME?</v>
      </c>
      <c r="F53" t="e">
        <f ca="1">WEIBULL_INV(E53,$B$4,$B$3)</f>
        <v>#NAME?</v>
      </c>
    </row>
    <row r="54" spans="4:6" x14ac:dyDescent="0.25">
      <c r="D54">
        <f t="shared" si="0"/>
        <v>52</v>
      </c>
      <c r="E54" t="e">
        <f ca="1">RANDOM($B$7)</f>
        <v>#NAME?</v>
      </c>
      <c r="F54" t="e">
        <f ca="1">WEIBULL_INV(E54,$B$4,$B$3)</f>
        <v>#NAME?</v>
      </c>
    </row>
    <row r="55" spans="4:6" x14ac:dyDescent="0.25">
      <c r="D55">
        <f t="shared" si="0"/>
        <v>53</v>
      </c>
      <c r="E55" t="e">
        <f ca="1">RANDOM($B$7)</f>
        <v>#NAME?</v>
      </c>
      <c r="F55" t="e">
        <f ca="1">WEIBULL_INV(E55,$B$4,$B$3)</f>
        <v>#NAME?</v>
      </c>
    </row>
    <row r="56" spans="4:6" x14ac:dyDescent="0.25">
      <c r="D56">
        <f t="shared" si="0"/>
        <v>54</v>
      </c>
      <c r="E56" t="e">
        <f ca="1">RANDOM($B$7)</f>
        <v>#NAME?</v>
      </c>
      <c r="F56" t="e">
        <f ca="1">WEIBULL_INV(E56,$B$4,$B$3)</f>
        <v>#NAME?</v>
      </c>
    </row>
    <row r="57" spans="4:6" x14ac:dyDescent="0.25">
      <c r="D57">
        <f t="shared" si="0"/>
        <v>55</v>
      </c>
      <c r="E57" t="e">
        <f ca="1">RANDOM($B$7)</f>
        <v>#NAME?</v>
      </c>
      <c r="F57" t="e">
        <f ca="1">WEIBULL_INV(E57,$B$4,$B$3)</f>
        <v>#NAME?</v>
      </c>
    </row>
    <row r="58" spans="4:6" x14ac:dyDescent="0.25">
      <c r="D58">
        <f t="shared" si="0"/>
        <v>56</v>
      </c>
      <c r="E58" t="e">
        <f ca="1">RANDOM($B$7)</f>
        <v>#NAME?</v>
      </c>
      <c r="F58" t="e">
        <f ca="1">WEIBULL_INV(E58,$B$4,$B$3)</f>
        <v>#NAME?</v>
      </c>
    </row>
    <row r="59" spans="4:6" x14ac:dyDescent="0.25">
      <c r="D59">
        <f t="shared" si="0"/>
        <v>57</v>
      </c>
      <c r="E59" t="e">
        <f ca="1">RANDOM($B$7)</f>
        <v>#NAME?</v>
      </c>
      <c r="F59" t="e">
        <f ca="1">WEIBULL_INV(E59,$B$4,$B$3)</f>
        <v>#NAME?</v>
      </c>
    </row>
    <row r="60" spans="4:6" x14ac:dyDescent="0.25">
      <c r="D60">
        <f t="shared" si="0"/>
        <v>58</v>
      </c>
      <c r="E60" t="e">
        <f ca="1">RANDOM($B$7)</f>
        <v>#NAME?</v>
      </c>
      <c r="F60" t="e">
        <f ca="1">WEIBULL_INV(E60,$B$4,$B$3)</f>
        <v>#NAME?</v>
      </c>
    </row>
    <row r="61" spans="4:6" x14ac:dyDescent="0.25">
      <c r="D61">
        <f t="shared" si="0"/>
        <v>59</v>
      </c>
      <c r="E61" t="e">
        <f ca="1">RANDOM($B$7)</f>
        <v>#NAME?</v>
      </c>
      <c r="F61" t="e">
        <f ca="1">WEIBULL_INV(E61,$B$4,$B$3)</f>
        <v>#NAME?</v>
      </c>
    </row>
    <row r="62" spans="4:6" x14ac:dyDescent="0.25">
      <c r="D62">
        <f t="shared" si="0"/>
        <v>60</v>
      </c>
      <c r="E62" t="e">
        <f ca="1">RANDOM($B$7)</f>
        <v>#NAME?</v>
      </c>
      <c r="F62" t="e">
        <f ca="1">WEIBULL_INV(E62,$B$4,$B$3)</f>
        <v>#NAME?</v>
      </c>
    </row>
    <row r="63" spans="4:6" x14ac:dyDescent="0.25">
      <c r="D63">
        <f t="shared" si="0"/>
        <v>61</v>
      </c>
      <c r="E63" t="e">
        <f ca="1">RANDOM($B$7)</f>
        <v>#NAME?</v>
      </c>
      <c r="F63" t="e">
        <f ca="1">WEIBULL_INV(E63,$B$4,$B$3)</f>
        <v>#NAME?</v>
      </c>
    </row>
    <row r="64" spans="4:6" x14ac:dyDescent="0.25">
      <c r="D64">
        <f t="shared" si="0"/>
        <v>62</v>
      </c>
      <c r="E64" t="e">
        <f ca="1">RANDOM($B$7)</f>
        <v>#NAME?</v>
      </c>
      <c r="F64" t="e">
        <f ca="1">WEIBULL_INV(E64,$B$4,$B$3)</f>
        <v>#NAME?</v>
      </c>
    </row>
    <row r="65" spans="4:6" x14ac:dyDescent="0.25">
      <c r="D65">
        <f t="shared" si="0"/>
        <v>63</v>
      </c>
      <c r="E65" t="e">
        <f ca="1">RANDOM($B$7)</f>
        <v>#NAME?</v>
      </c>
      <c r="F65" t="e">
        <f ca="1">WEIBULL_INV(E65,$B$4,$B$3)</f>
        <v>#NAME?</v>
      </c>
    </row>
    <row r="66" spans="4:6" x14ac:dyDescent="0.25">
      <c r="D66">
        <f t="shared" si="0"/>
        <v>64</v>
      </c>
      <c r="E66" t="e">
        <f ca="1">RANDOM($B$7)</f>
        <v>#NAME?</v>
      </c>
      <c r="F66" t="e">
        <f ca="1">WEIBULL_INV(E66,$B$4,$B$3)</f>
        <v>#NAME?</v>
      </c>
    </row>
    <row r="67" spans="4:6" x14ac:dyDescent="0.25">
      <c r="D67">
        <f t="shared" si="0"/>
        <v>65</v>
      </c>
      <c r="E67" t="e">
        <f ca="1">RANDOM($B$7)</f>
        <v>#NAME?</v>
      </c>
      <c r="F67" t="e">
        <f ca="1">WEIBULL_INV(E67,$B$4,$B$3)</f>
        <v>#NAME?</v>
      </c>
    </row>
    <row r="68" spans="4:6" x14ac:dyDescent="0.25">
      <c r="D68">
        <f t="shared" si="0"/>
        <v>66</v>
      </c>
      <c r="E68" t="e">
        <f ca="1">RANDOM($B$7)</f>
        <v>#NAME?</v>
      </c>
      <c r="F68" t="e">
        <f ca="1">WEIBULL_INV(E68,$B$4,$B$3)</f>
        <v>#NAME?</v>
      </c>
    </row>
    <row r="69" spans="4:6" x14ac:dyDescent="0.25">
      <c r="D69">
        <f t="shared" ref="D69:D132" si="1">D68+1</f>
        <v>67</v>
      </c>
      <c r="E69" t="e">
        <f ca="1">RANDOM($B$7)</f>
        <v>#NAME?</v>
      </c>
      <c r="F69" t="e">
        <f ca="1">WEIBULL_INV(E69,$B$4,$B$3)</f>
        <v>#NAME?</v>
      </c>
    </row>
    <row r="70" spans="4:6" x14ac:dyDescent="0.25">
      <c r="D70">
        <f t="shared" si="1"/>
        <v>68</v>
      </c>
      <c r="E70" t="e">
        <f ca="1">RANDOM($B$7)</f>
        <v>#NAME?</v>
      </c>
      <c r="F70" t="e">
        <f ca="1">WEIBULL_INV(E70,$B$4,$B$3)</f>
        <v>#NAME?</v>
      </c>
    </row>
    <row r="71" spans="4:6" x14ac:dyDescent="0.25">
      <c r="D71">
        <f t="shared" si="1"/>
        <v>69</v>
      </c>
      <c r="E71" t="e">
        <f ca="1">RANDOM($B$7)</f>
        <v>#NAME?</v>
      </c>
      <c r="F71" t="e">
        <f ca="1">WEIBULL_INV(E71,$B$4,$B$3)</f>
        <v>#NAME?</v>
      </c>
    </row>
    <row r="72" spans="4:6" x14ac:dyDescent="0.25">
      <c r="D72">
        <f t="shared" si="1"/>
        <v>70</v>
      </c>
      <c r="E72" t="e">
        <f ca="1">RANDOM($B$7)</f>
        <v>#NAME?</v>
      </c>
      <c r="F72" t="e">
        <f ca="1">WEIBULL_INV(E72,$B$4,$B$3)</f>
        <v>#NAME?</v>
      </c>
    </row>
    <row r="73" spans="4:6" x14ac:dyDescent="0.25">
      <c r="D73">
        <f t="shared" si="1"/>
        <v>71</v>
      </c>
      <c r="E73" t="e">
        <f ca="1">RANDOM($B$7)</f>
        <v>#NAME?</v>
      </c>
      <c r="F73" t="e">
        <f ca="1">WEIBULL_INV(E73,$B$4,$B$3)</f>
        <v>#NAME?</v>
      </c>
    </row>
    <row r="74" spans="4:6" x14ac:dyDescent="0.25">
      <c r="D74">
        <f t="shared" si="1"/>
        <v>72</v>
      </c>
      <c r="E74" t="e">
        <f ca="1">RANDOM($B$7)</f>
        <v>#NAME?</v>
      </c>
      <c r="F74" t="e">
        <f ca="1">WEIBULL_INV(E74,$B$4,$B$3)</f>
        <v>#NAME?</v>
      </c>
    </row>
    <row r="75" spans="4:6" x14ac:dyDescent="0.25">
      <c r="D75">
        <f t="shared" si="1"/>
        <v>73</v>
      </c>
      <c r="E75" t="e">
        <f ca="1">RANDOM($B$7)</f>
        <v>#NAME?</v>
      </c>
      <c r="F75" t="e">
        <f ca="1">WEIBULL_INV(E75,$B$4,$B$3)</f>
        <v>#NAME?</v>
      </c>
    </row>
    <row r="76" spans="4:6" x14ac:dyDescent="0.25">
      <c r="D76">
        <f t="shared" si="1"/>
        <v>74</v>
      </c>
      <c r="E76" t="e">
        <f ca="1">RANDOM($B$7)</f>
        <v>#NAME?</v>
      </c>
      <c r="F76" t="e">
        <f ca="1">WEIBULL_INV(E76,$B$4,$B$3)</f>
        <v>#NAME?</v>
      </c>
    </row>
    <row r="77" spans="4:6" x14ac:dyDescent="0.25">
      <c r="D77">
        <f t="shared" si="1"/>
        <v>75</v>
      </c>
      <c r="E77" t="e">
        <f ca="1">RANDOM($B$7)</f>
        <v>#NAME?</v>
      </c>
      <c r="F77" t="e">
        <f ca="1">WEIBULL_INV(E77,$B$4,$B$3)</f>
        <v>#NAME?</v>
      </c>
    </row>
    <row r="78" spans="4:6" x14ac:dyDescent="0.25">
      <c r="D78">
        <f t="shared" si="1"/>
        <v>76</v>
      </c>
      <c r="E78" t="e">
        <f ca="1">RANDOM($B$7)</f>
        <v>#NAME?</v>
      </c>
      <c r="F78" t="e">
        <f ca="1">WEIBULL_INV(E78,$B$4,$B$3)</f>
        <v>#NAME?</v>
      </c>
    </row>
    <row r="79" spans="4:6" x14ac:dyDescent="0.25">
      <c r="D79">
        <f t="shared" si="1"/>
        <v>77</v>
      </c>
      <c r="E79" t="e">
        <f ca="1">RANDOM($B$7)</f>
        <v>#NAME?</v>
      </c>
      <c r="F79" t="e">
        <f ca="1">WEIBULL_INV(E79,$B$4,$B$3)</f>
        <v>#NAME?</v>
      </c>
    </row>
    <row r="80" spans="4:6" x14ac:dyDescent="0.25">
      <c r="D80">
        <f t="shared" si="1"/>
        <v>78</v>
      </c>
      <c r="E80" t="e">
        <f ca="1">RANDOM($B$7)</f>
        <v>#NAME?</v>
      </c>
      <c r="F80" t="e">
        <f ca="1">WEIBULL_INV(E80,$B$4,$B$3)</f>
        <v>#NAME?</v>
      </c>
    </row>
    <row r="81" spans="4:6" x14ac:dyDescent="0.25">
      <c r="D81">
        <f t="shared" si="1"/>
        <v>79</v>
      </c>
      <c r="E81" t="e">
        <f ca="1">RANDOM($B$7)</f>
        <v>#NAME?</v>
      </c>
      <c r="F81" t="e">
        <f ca="1">WEIBULL_INV(E81,$B$4,$B$3)</f>
        <v>#NAME?</v>
      </c>
    </row>
    <row r="82" spans="4:6" x14ac:dyDescent="0.25">
      <c r="D82">
        <f t="shared" si="1"/>
        <v>80</v>
      </c>
      <c r="E82" t="e">
        <f ca="1">RANDOM($B$7)</f>
        <v>#NAME?</v>
      </c>
      <c r="F82" t="e">
        <f ca="1">WEIBULL_INV(E82,$B$4,$B$3)</f>
        <v>#NAME?</v>
      </c>
    </row>
    <row r="83" spans="4:6" x14ac:dyDescent="0.25">
      <c r="D83">
        <f t="shared" si="1"/>
        <v>81</v>
      </c>
      <c r="E83" t="e">
        <f ca="1">RANDOM($B$7)</f>
        <v>#NAME?</v>
      </c>
      <c r="F83" t="e">
        <f ca="1">WEIBULL_INV(E83,$B$4,$B$3)</f>
        <v>#NAME?</v>
      </c>
    </row>
    <row r="84" spans="4:6" x14ac:dyDescent="0.25">
      <c r="D84">
        <f t="shared" si="1"/>
        <v>82</v>
      </c>
      <c r="E84" t="e">
        <f ca="1">RANDOM($B$7)</f>
        <v>#NAME?</v>
      </c>
      <c r="F84" t="e">
        <f ca="1">WEIBULL_INV(E84,$B$4,$B$3)</f>
        <v>#NAME?</v>
      </c>
    </row>
    <row r="85" spans="4:6" x14ac:dyDescent="0.25">
      <c r="D85">
        <f t="shared" si="1"/>
        <v>83</v>
      </c>
      <c r="E85" t="e">
        <f ca="1">RANDOM($B$7)</f>
        <v>#NAME?</v>
      </c>
      <c r="F85" t="e">
        <f ca="1">WEIBULL_INV(E85,$B$4,$B$3)</f>
        <v>#NAME?</v>
      </c>
    </row>
    <row r="86" spans="4:6" x14ac:dyDescent="0.25">
      <c r="D86">
        <f t="shared" si="1"/>
        <v>84</v>
      </c>
      <c r="E86" t="e">
        <f ca="1">RANDOM($B$7)</f>
        <v>#NAME?</v>
      </c>
      <c r="F86" t="e">
        <f ca="1">WEIBULL_INV(E86,$B$4,$B$3)</f>
        <v>#NAME?</v>
      </c>
    </row>
    <row r="87" spans="4:6" x14ac:dyDescent="0.25">
      <c r="D87">
        <f t="shared" si="1"/>
        <v>85</v>
      </c>
      <c r="E87" t="e">
        <f ca="1">RANDOM($B$7)</f>
        <v>#NAME?</v>
      </c>
      <c r="F87" t="e">
        <f ca="1">WEIBULL_INV(E87,$B$4,$B$3)</f>
        <v>#NAME?</v>
      </c>
    </row>
    <row r="88" spans="4:6" x14ac:dyDescent="0.25">
      <c r="D88">
        <f t="shared" si="1"/>
        <v>86</v>
      </c>
      <c r="E88" t="e">
        <f ca="1">RANDOM($B$7)</f>
        <v>#NAME?</v>
      </c>
      <c r="F88" t="e">
        <f ca="1">WEIBULL_INV(E88,$B$4,$B$3)</f>
        <v>#NAME?</v>
      </c>
    </row>
    <row r="89" spans="4:6" x14ac:dyDescent="0.25">
      <c r="D89">
        <f t="shared" si="1"/>
        <v>87</v>
      </c>
      <c r="E89" t="e">
        <f ca="1">RANDOM($B$7)</f>
        <v>#NAME?</v>
      </c>
      <c r="F89" t="e">
        <f ca="1">WEIBULL_INV(E89,$B$4,$B$3)</f>
        <v>#NAME?</v>
      </c>
    </row>
    <row r="90" spans="4:6" x14ac:dyDescent="0.25">
      <c r="D90">
        <f t="shared" si="1"/>
        <v>88</v>
      </c>
      <c r="E90" t="e">
        <f ca="1">RANDOM($B$7)</f>
        <v>#NAME?</v>
      </c>
      <c r="F90" t="e">
        <f ca="1">WEIBULL_INV(E90,$B$4,$B$3)</f>
        <v>#NAME?</v>
      </c>
    </row>
    <row r="91" spans="4:6" x14ac:dyDescent="0.25">
      <c r="D91">
        <f t="shared" si="1"/>
        <v>89</v>
      </c>
      <c r="E91" t="e">
        <f ca="1">RANDOM($B$7)</f>
        <v>#NAME?</v>
      </c>
      <c r="F91" t="e">
        <f ca="1">WEIBULL_INV(E91,$B$4,$B$3)</f>
        <v>#NAME?</v>
      </c>
    </row>
    <row r="92" spans="4:6" x14ac:dyDescent="0.25">
      <c r="D92">
        <f t="shared" si="1"/>
        <v>90</v>
      </c>
      <c r="E92" t="e">
        <f ca="1">RANDOM($B$7)</f>
        <v>#NAME?</v>
      </c>
      <c r="F92" t="e">
        <f ca="1">WEIBULL_INV(E92,$B$4,$B$3)</f>
        <v>#NAME?</v>
      </c>
    </row>
    <row r="93" spans="4:6" x14ac:dyDescent="0.25">
      <c r="D93">
        <f t="shared" si="1"/>
        <v>91</v>
      </c>
      <c r="E93" t="e">
        <f ca="1">RANDOM($B$7)</f>
        <v>#NAME?</v>
      </c>
      <c r="F93" t="e">
        <f ca="1">WEIBULL_INV(E93,$B$4,$B$3)</f>
        <v>#NAME?</v>
      </c>
    </row>
    <row r="94" spans="4:6" x14ac:dyDescent="0.25">
      <c r="D94">
        <f t="shared" si="1"/>
        <v>92</v>
      </c>
      <c r="E94" t="e">
        <f ca="1">RANDOM($B$7)</f>
        <v>#NAME?</v>
      </c>
      <c r="F94" t="e">
        <f ca="1">WEIBULL_INV(E94,$B$4,$B$3)</f>
        <v>#NAME?</v>
      </c>
    </row>
    <row r="95" spans="4:6" x14ac:dyDescent="0.25">
      <c r="D95">
        <f t="shared" si="1"/>
        <v>93</v>
      </c>
      <c r="E95" t="e">
        <f ca="1">RANDOM($B$7)</f>
        <v>#NAME?</v>
      </c>
      <c r="F95" t="e">
        <f ca="1">WEIBULL_INV(E95,$B$4,$B$3)</f>
        <v>#NAME?</v>
      </c>
    </row>
    <row r="96" spans="4:6" x14ac:dyDescent="0.25">
      <c r="D96">
        <f t="shared" si="1"/>
        <v>94</v>
      </c>
      <c r="E96" t="e">
        <f ca="1">RANDOM($B$7)</f>
        <v>#NAME?</v>
      </c>
      <c r="F96" t="e">
        <f ca="1">WEIBULL_INV(E96,$B$4,$B$3)</f>
        <v>#NAME?</v>
      </c>
    </row>
    <row r="97" spans="4:6" x14ac:dyDescent="0.25">
      <c r="D97">
        <f t="shared" si="1"/>
        <v>95</v>
      </c>
      <c r="E97" t="e">
        <f ca="1">RANDOM($B$7)</f>
        <v>#NAME?</v>
      </c>
      <c r="F97" t="e">
        <f ca="1">WEIBULL_INV(E97,$B$4,$B$3)</f>
        <v>#NAME?</v>
      </c>
    </row>
    <row r="98" spans="4:6" x14ac:dyDescent="0.25">
      <c r="D98">
        <f t="shared" si="1"/>
        <v>96</v>
      </c>
      <c r="E98" t="e">
        <f ca="1">RANDOM($B$7)</f>
        <v>#NAME?</v>
      </c>
      <c r="F98" t="e">
        <f ca="1">WEIBULL_INV(E98,$B$4,$B$3)</f>
        <v>#NAME?</v>
      </c>
    </row>
    <row r="99" spans="4:6" x14ac:dyDescent="0.25">
      <c r="D99">
        <f t="shared" si="1"/>
        <v>97</v>
      </c>
      <c r="E99" t="e">
        <f ca="1">RANDOM($B$7)</f>
        <v>#NAME?</v>
      </c>
      <c r="F99" t="e">
        <f ca="1">WEIBULL_INV(E99,$B$4,$B$3)</f>
        <v>#NAME?</v>
      </c>
    </row>
    <row r="100" spans="4:6" x14ac:dyDescent="0.25">
      <c r="D100">
        <f t="shared" si="1"/>
        <v>98</v>
      </c>
      <c r="E100" t="e">
        <f ca="1">RANDOM($B$7)</f>
        <v>#NAME?</v>
      </c>
      <c r="F100" t="e">
        <f ca="1">WEIBULL_INV(E100,$B$4,$B$3)</f>
        <v>#NAME?</v>
      </c>
    </row>
    <row r="101" spans="4:6" x14ac:dyDescent="0.25">
      <c r="D101">
        <f t="shared" si="1"/>
        <v>99</v>
      </c>
      <c r="E101" t="e">
        <f ca="1">RANDOM($B$7)</f>
        <v>#NAME?</v>
      </c>
      <c r="F101" t="e">
        <f ca="1">WEIBULL_INV(E101,$B$4,$B$3)</f>
        <v>#NAME?</v>
      </c>
    </row>
    <row r="102" spans="4:6" x14ac:dyDescent="0.25">
      <c r="D102">
        <f t="shared" si="1"/>
        <v>100</v>
      </c>
      <c r="E102" t="e">
        <f ca="1">RANDOM($B$7)</f>
        <v>#NAME?</v>
      </c>
      <c r="F102" t="e">
        <f ca="1">WEIBULL_INV(E102,$B$4,$B$3)</f>
        <v>#NAME?</v>
      </c>
    </row>
    <row r="103" spans="4:6" x14ac:dyDescent="0.25">
      <c r="D103">
        <f t="shared" si="1"/>
        <v>101</v>
      </c>
      <c r="E103" t="e">
        <f ca="1">RANDOM($B$7)</f>
        <v>#NAME?</v>
      </c>
      <c r="F103" t="e">
        <f ca="1">WEIBULL_INV(E103,$B$4,$B$3)</f>
        <v>#NAME?</v>
      </c>
    </row>
    <row r="104" spans="4:6" x14ac:dyDescent="0.25">
      <c r="D104">
        <f t="shared" si="1"/>
        <v>102</v>
      </c>
      <c r="E104" t="e">
        <f ca="1">RANDOM($B$7)</f>
        <v>#NAME?</v>
      </c>
      <c r="F104" t="e">
        <f ca="1">WEIBULL_INV(E104,$B$4,$B$3)</f>
        <v>#NAME?</v>
      </c>
    </row>
    <row r="105" spans="4:6" x14ac:dyDescent="0.25">
      <c r="D105">
        <f t="shared" si="1"/>
        <v>103</v>
      </c>
      <c r="E105" t="e">
        <f ca="1">RANDOM($B$7)</f>
        <v>#NAME?</v>
      </c>
      <c r="F105" t="e">
        <f ca="1">WEIBULL_INV(E105,$B$4,$B$3)</f>
        <v>#NAME?</v>
      </c>
    </row>
    <row r="106" spans="4:6" x14ac:dyDescent="0.25">
      <c r="D106">
        <f t="shared" si="1"/>
        <v>104</v>
      </c>
      <c r="E106" t="e">
        <f ca="1">RANDOM($B$7)</f>
        <v>#NAME?</v>
      </c>
      <c r="F106" t="e">
        <f ca="1">WEIBULL_INV(E106,$B$4,$B$3)</f>
        <v>#NAME?</v>
      </c>
    </row>
    <row r="107" spans="4:6" x14ac:dyDescent="0.25">
      <c r="D107">
        <f t="shared" si="1"/>
        <v>105</v>
      </c>
      <c r="E107" t="e">
        <f ca="1">RANDOM($B$7)</f>
        <v>#NAME?</v>
      </c>
      <c r="F107" t="e">
        <f ca="1">WEIBULL_INV(E107,$B$4,$B$3)</f>
        <v>#NAME?</v>
      </c>
    </row>
    <row r="108" spans="4:6" x14ac:dyDescent="0.25">
      <c r="D108">
        <f t="shared" si="1"/>
        <v>106</v>
      </c>
      <c r="E108" t="e">
        <f ca="1">RANDOM($B$7)</f>
        <v>#NAME?</v>
      </c>
      <c r="F108" t="e">
        <f ca="1">WEIBULL_INV(E108,$B$4,$B$3)</f>
        <v>#NAME?</v>
      </c>
    </row>
    <row r="109" spans="4:6" x14ac:dyDescent="0.25">
      <c r="D109">
        <f t="shared" si="1"/>
        <v>107</v>
      </c>
      <c r="E109" t="e">
        <f ca="1">RANDOM($B$7)</f>
        <v>#NAME?</v>
      </c>
      <c r="F109" t="e">
        <f ca="1">WEIBULL_INV(E109,$B$4,$B$3)</f>
        <v>#NAME?</v>
      </c>
    </row>
    <row r="110" spans="4:6" x14ac:dyDescent="0.25">
      <c r="D110">
        <f t="shared" si="1"/>
        <v>108</v>
      </c>
      <c r="E110" t="e">
        <f ca="1">RANDOM($B$7)</f>
        <v>#NAME?</v>
      </c>
      <c r="F110" t="e">
        <f ca="1">WEIBULL_INV(E110,$B$4,$B$3)</f>
        <v>#NAME?</v>
      </c>
    </row>
    <row r="111" spans="4:6" x14ac:dyDescent="0.25">
      <c r="D111">
        <f t="shared" si="1"/>
        <v>109</v>
      </c>
      <c r="E111" t="e">
        <f ca="1">RANDOM($B$7)</f>
        <v>#NAME?</v>
      </c>
      <c r="F111" t="e">
        <f ca="1">WEIBULL_INV(E111,$B$4,$B$3)</f>
        <v>#NAME?</v>
      </c>
    </row>
    <row r="112" spans="4:6" x14ac:dyDescent="0.25">
      <c r="D112">
        <f t="shared" si="1"/>
        <v>110</v>
      </c>
      <c r="E112" t="e">
        <f ca="1">RANDOM($B$7)</f>
        <v>#NAME?</v>
      </c>
      <c r="F112" t="e">
        <f ca="1">WEIBULL_INV(E112,$B$4,$B$3)</f>
        <v>#NAME?</v>
      </c>
    </row>
    <row r="113" spans="4:6" x14ac:dyDescent="0.25">
      <c r="D113">
        <f t="shared" si="1"/>
        <v>111</v>
      </c>
      <c r="E113" t="e">
        <f ca="1">RANDOM($B$7)</f>
        <v>#NAME?</v>
      </c>
      <c r="F113" t="e">
        <f ca="1">WEIBULL_INV(E113,$B$4,$B$3)</f>
        <v>#NAME?</v>
      </c>
    </row>
    <row r="114" spans="4:6" x14ac:dyDescent="0.25">
      <c r="D114">
        <f t="shared" si="1"/>
        <v>112</v>
      </c>
      <c r="E114" t="e">
        <f ca="1">RANDOM($B$7)</f>
        <v>#NAME?</v>
      </c>
      <c r="F114" t="e">
        <f ca="1">WEIBULL_INV(E114,$B$4,$B$3)</f>
        <v>#NAME?</v>
      </c>
    </row>
    <row r="115" spans="4:6" x14ac:dyDescent="0.25">
      <c r="D115">
        <f t="shared" si="1"/>
        <v>113</v>
      </c>
      <c r="E115" t="e">
        <f ca="1">RANDOM($B$7)</f>
        <v>#NAME?</v>
      </c>
      <c r="F115" t="e">
        <f ca="1">WEIBULL_INV(E115,$B$4,$B$3)</f>
        <v>#NAME?</v>
      </c>
    </row>
    <row r="116" spans="4:6" x14ac:dyDescent="0.25">
      <c r="D116">
        <f t="shared" si="1"/>
        <v>114</v>
      </c>
      <c r="E116" t="e">
        <f ca="1">RANDOM($B$7)</f>
        <v>#NAME?</v>
      </c>
      <c r="F116" t="e">
        <f ca="1">WEIBULL_INV(E116,$B$4,$B$3)</f>
        <v>#NAME?</v>
      </c>
    </row>
    <row r="117" spans="4:6" x14ac:dyDescent="0.25">
      <c r="D117">
        <f t="shared" si="1"/>
        <v>115</v>
      </c>
      <c r="E117" t="e">
        <f ca="1">RANDOM($B$7)</f>
        <v>#NAME?</v>
      </c>
      <c r="F117" t="e">
        <f ca="1">WEIBULL_INV(E117,$B$4,$B$3)</f>
        <v>#NAME?</v>
      </c>
    </row>
    <row r="118" spans="4:6" x14ac:dyDescent="0.25">
      <c r="D118">
        <f t="shared" si="1"/>
        <v>116</v>
      </c>
      <c r="E118" t="e">
        <f ca="1">RANDOM($B$7)</f>
        <v>#NAME?</v>
      </c>
      <c r="F118" t="e">
        <f ca="1">WEIBULL_INV(E118,$B$4,$B$3)</f>
        <v>#NAME?</v>
      </c>
    </row>
    <row r="119" spans="4:6" x14ac:dyDescent="0.25">
      <c r="D119">
        <f t="shared" si="1"/>
        <v>117</v>
      </c>
      <c r="E119" t="e">
        <f ca="1">RANDOM($B$7)</f>
        <v>#NAME?</v>
      </c>
      <c r="F119" t="e">
        <f ca="1">WEIBULL_INV(E119,$B$4,$B$3)</f>
        <v>#NAME?</v>
      </c>
    </row>
    <row r="120" spans="4:6" x14ac:dyDescent="0.25">
      <c r="D120">
        <f t="shared" si="1"/>
        <v>118</v>
      </c>
      <c r="E120" t="e">
        <f ca="1">RANDOM($B$7)</f>
        <v>#NAME?</v>
      </c>
      <c r="F120" t="e">
        <f ca="1">WEIBULL_INV(E120,$B$4,$B$3)</f>
        <v>#NAME?</v>
      </c>
    </row>
    <row r="121" spans="4:6" x14ac:dyDescent="0.25">
      <c r="D121">
        <f t="shared" si="1"/>
        <v>119</v>
      </c>
      <c r="E121" t="e">
        <f ca="1">RANDOM($B$7)</f>
        <v>#NAME?</v>
      </c>
      <c r="F121" t="e">
        <f ca="1">WEIBULL_INV(E121,$B$4,$B$3)</f>
        <v>#NAME?</v>
      </c>
    </row>
    <row r="122" spans="4:6" x14ac:dyDescent="0.25">
      <c r="D122">
        <f t="shared" si="1"/>
        <v>120</v>
      </c>
      <c r="E122" t="e">
        <f ca="1">RANDOM($B$7)</f>
        <v>#NAME?</v>
      </c>
      <c r="F122" t="e">
        <f ca="1">WEIBULL_INV(E122,$B$4,$B$3)</f>
        <v>#NAME?</v>
      </c>
    </row>
    <row r="123" spans="4:6" x14ac:dyDescent="0.25">
      <c r="D123">
        <f t="shared" si="1"/>
        <v>121</v>
      </c>
      <c r="E123" t="e">
        <f ca="1">RANDOM($B$7)</f>
        <v>#NAME?</v>
      </c>
      <c r="F123" t="e">
        <f ca="1">WEIBULL_INV(E123,$B$4,$B$3)</f>
        <v>#NAME?</v>
      </c>
    </row>
    <row r="124" spans="4:6" x14ac:dyDescent="0.25">
      <c r="D124">
        <f t="shared" si="1"/>
        <v>122</v>
      </c>
      <c r="E124" t="e">
        <f ca="1">RANDOM($B$7)</f>
        <v>#NAME?</v>
      </c>
      <c r="F124" t="e">
        <f ca="1">WEIBULL_INV(E124,$B$4,$B$3)</f>
        <v>#NAME?</v>
      </c>
    </row>
    <row r="125" spans="4:6" x14ac:dyDescent="0.25">
      <c r="D125">
        <f t="shared" si="1"/>
        <v>123</v>
      </c>
      <c r="E125" t="e">
        <f ca="1">RANDOM($B$7)</f>
        <v>#NAME?</v>
      </c>
      <c r="F125" t="e">
        <f ca="1">WEIBULL_INV(E125,$B$4,$B$3)</f>
        <v>#NAME?</v>
      </c>
    </row>
    <row r="126" spans="4:6" x14ac:dyDescent="0.25">
      <c r="D126">
        <f t="shared" si="1"/>
        <v>124</v>
      </c>
      <c r="E126" t="e">
        <f ca="1">RANDOM($B$7)</f>
        <v>#NAME?</v>
      </c>
      <c r="F126" t="e">
        <f ca="1">WEIBULL_INV(E126,$B$4,$B$3)</f>
        <v>#NAME?</v>
      </c>
    </row>
    <row r="127" spans="4:6" x14ac:dyDescent="0.25">
      <c r="D127">
        <f t="shared" si="1"/>
        <v>125</v>
      </c>
      <c r="E127" t="e">
        <f ca="1">RANDOM($B$7)</f>
        <v>#NAME?</v>
      </c>
      <c r="F127" t="e">
        <f ca="1">WEIBULL_INV(E127,$B$4,$B$3)</f>
        <v>#NAME?</v>
      </c>
    </row>
    <row r="128" spans="4:6" x14ac:dyDescent="0.25">
      <c r="D128">
        <f t="shared" si="1"/>
        <v>126</v>
      </c>
      <c r="E128" t="e">
        <f ca="1">RANDOM($B$7)</f>
        <v>#NAME?</v>
      </c>
      <c r="F128" t="e">
        <f ca="1">WEIBULL_INV(E128,$B$4,$B$3)</f>
        <v>#NAME?</v>
      </c>
    </row>
    <row r="129" spans="4:6" x14ac:dyDescent="0.25">
      <c r="D129">
        <f t="shared" si="1"/>
        <v>127</v>
      </c>
      <c r="E129" t="e">
        <f ca="1">RANDOM($B$7)</f>
        <v>#NAME?</v>
      </c>
      <c r="F129" t="e">
        <f ca="1">WEIBULL_INV(E129,$B$4,$B$3)</f>
        <v>#NAME?</v>
      </c>
    </row>
    <row r="130" spans="4:6" x14ac:dyDescent="0.25">
      <c r="D130">
        <f t="shared" si="1"/>
        <v>128</v>
      </c>
      <c r="E130" t="e">
        <f ca="1">RANDOM($B$7)</f>
        <v>#NAME?</v>
      </c>
      <c r="F130" t="e">
        <f ca="1">WEIBULL_INV(E130,$B$4,$B$3)</f>
        <v>#NAME?</v>
      </c>
    </row>
    <row r="131" spans="4:6" x14ac:dyDescent="0.25">
      <c r="D131">
        <f t="shared" si="1"/>
        <v>129</v>
      </c>
      <c r="E131" t="e">
        <f ca="1">RANDOM($B$7)</f>
        <v>#NAME?</v>
      </c>
      <c r="F131" t="e">
        <f ca="1">WEIBULL_INV(E131,$B$4,$B$3)</f>
        <v>#NAME?</v>
      </c>
    </row>
    <row r="132" spans="4:6" x14ac:dyDescent="0.25">
      <c r="D132">
        <f t="shared" si="1"/>
        <v>130</v>
      </c>
      <c r="E132" t="e">
        <f ca="1">RANDOM($B$7)</f>
        <v>#NAME?</v>
      </c>
      <c r="F132" t="e">
        <f ca="1">WEIBULL_INV(E132,$B$4,$B$3)</f>
        <v>#NAME?</v>
      </c>
    </row>
    <row r="133" spans="4:6" x14ac:dyDescent="0.25">
      <c r="D133">
        <f t="shared" ref="D133:D196" si="2">D132+1</f>
        <v>131</v>
      </c>
      <c r="E133" t="e">
        <f ca="1">RANDOM($B$7)</f>
        <v>#NAME?</v>
      </c>
      <c r="F133" t="e">
        <f ca="1">WEIBULL_INV(E133,$B$4,$B$3)</f>
        <v>#NAME?</v>
      </c>
    </row>
    <row r="134" spans="4:6" x14ac:dyDescent="0.25">
      <c r="D134">
        <f t="shared" si="2"/>
        <v>132</v>
      </c>
      <c r="E134" t="e">
        <f ca="1">RANDOM($B$7)</f>
        <v>#NAME?</v>
      </c>
      <c r="F134" t="e">
        <f ca="1">WEIBULL_INV(E134,$B$4,$B$3)</f>
        <v>#NAME?</v>
      </c>
    </row>
    <row r="135" spans="4:6" x14ac:dyDescent="0.25">
      <c r="D135">
        <f t="shared" si="2"/>
        <v>133</v>
      </c>
      <c r="E135" t="e">
        <f ca="1">RANDOM($B$7)</f>
        <v>#NAME?</v>
      </c>
      <c r="F135" t="e">
        <f ca="1">WEIBULL_INV(E135,$B$4,$B$3)</f>
        <v>#NAME?</v>
      </c>
    </row>
    <row r="136" spans="4:6" x14ac:dyDescent="0.25">
      <c r="D136">
        <f t="shared" si="2"/>
        <v>134</v>
      </c>
      <c r="E136" t="e">
        <f ca="1">RANDOM($B$7)</f>
        <v>#NAME?</v>
      </c>
      <c r="F136" t="e">
        <f ca="1">WEIBULL_INV(E136,$B$4,$B$3)</f>
        <v>#NAME?</v>
      </c>
    </row>
    <row r="137" spans="4:6" x14ac:dyDescent="0.25">
      <c r="D137">
        <f t="shared" si="2"/>
        <v>135</v>
      </c>
      <c r="E137" t="e">
        <f ca="1">RANDOM($B$7)</f>
        <v>#NAME?</v>
      </c>
      <c r="F137" t="e">
        <f ca="1">WEIBULL_INV(E137,$B$4,$B$3)</f>
        <v>#NAME?</v>
      </c>
    </row>
    <row r="138" spans="4:6" x14ac:dyDescent="0.25">
      <c r="D138">
        <f t="shared" si="2"/>
        <v>136</v>
      </c>
      <c r="E138" t="e">
        <f ca="1">RANDOM($B$7)</f>
        <v>#NAME?</v>
      </c>
      <c r="F138" t="e">
        <f ca="1">WEIBULL_INV(E138,$B$4,$B$3)</f>
        <v>#NAME?</v>
      </c>
    </row>
    <row r="139" spans="4:6" x14ac:dyDescent="0.25">
      <c r="D139">
        <f t="shared" si="2"/>
        <v>137</v>
      </c>
      <c r="E139" t="e">
        <f ca="1">RANDOM($B$7)</f>
        <v>#NAME?</v>
      </c>
      <c r="F139" t="e">
        <f ca="1">WEIBULL_INV(E139,$B$4,$B$3)</f>
        <v>#NAME?</v>
      </c>
    </row>
    <row r="140" spans="4:6" x14ac:dyDescent="0.25">
      <c r="D140">
        <f t="shared" si="2"/>
        <v>138</v>
      </c>
      <c r="E140" t="e">
        <f ca="1">RANDOM($B$7)</f>
        <v>#NAME?</v>
      </c>
      <c r="F140" t="e">
        <f ca="1">WEIBULL_INV(E140,$B$4,$B$3)</f>
        <v>#NAME?</v>
      </c>
    </row>
    <row r="141" spans="4:6" x14ac:dyDescent="0.25">
      <c r="D141">
        <f t="shared" si="2"/>
        <v>139</v>
      </c>
      <c r="E141" t="e">
        <f ca="1">RANDOM($B$7)</f>
        <v>#NAME?</v>
      </c>
      <c r="F141" t="e">
        <f ca="1">WEIBULL_INV(E141,$B$4,$B$3)</f>
        <v>#NAME?</v>
      </c>
    </row>
    <row r="142" spans="4:6" x14ac:dyDescent="0.25">
      <c r="D142">
        <f t="shared" si="2"/>
        <v>140</v>
      </c>
      <c r="E142" t="e">
        <f ca="1">RANDOM($B$7)</f>
        <v>#NAME?</v>
      </c>
      <c r="F142" t="e">
        <f ca="1">WEIBULL_INV(E142,$B$4,$B$3)</f>
        <v>#NAME?</v>
      </c>
    </row>
    <row r="143" spans="4:6" x14ac:dyDescent="0.25">
      <c r="D143">
        <f t="shared" si="2"/>
        <v>141</v>
      </c>
      <c r="E143" t="e">
        <f ca="1">RANDOM($B$7)</f>
        <v>#NAME?</v>
      </c>
      <c r="F143" t="e">
        <f ca="1">WEIBULL_INV(E143,$B$4,$B$3)</f>
        <v>#NAME?</v>
      </c>
    </row>
    <row r="144" spans="4:6" x14ac:dyDescent="0.25">
      <c r="D144">
        <f t="shared" si="2"/>
        <v>142</v>
      </c>
      <c r="E144" t="e">
        <f ca="1">RANDOM($B$7)</f>
        <v>#NAME?</v>
      </c>
      <c r="F144" t="e">
        <f ca="1">WEIBULL_INV(E144,$B$4,$B$3)</f>
        <v>#NAME?</v>
      </c>
    </row>
    <row r="145" spans="4:6" x14ac:dyDescent="0.25">
      <c r="D145">
        <f t="shared" si="2"/>
        <v>143</v>
      </c>
      <c r="E145" t="e">
        <f ca="1">RANDOM($B$7)</f>
        <v>#NAME?</v>
      </c>
      <c r="F145" t="e">
        <f ca="1">WEIBULL_INV(E145,$B$4,$B$3)</f>
        <v>#NAME?</v>
      </c>
    </row>
    <row r="146" spans="4:6" x14ac:dyDescent="0.25">
      <c r="D146">
        <f t="shared" si="2"/>
        <v>144</v>
      </c>
      <c r="E146" t="e">
        <f ca="1">RANDOM($B$7)</f>
        <v>#NAME?</v>
      </c>
      <c r="F146" t="e">
        <f ca="1">WEIBULL_INV(E146,$B$4,$B$3)</f>
        <v>#NAME?</v>
      </c>
    </row>
    <row r="147" spans="4:6" x14ac:dyDescent="0.25">
      <c r="D147">
        <f t="shared" si="2"/>
        <v>145</v>
      </c>
      <c r="E147" t="e">
        <f ca="1">RANDOM($B$7)</f>
        <v>#NAME?</v>
      </c>
      <c r="F147" t="e">
        <f ca="1">WEIBULL_INV(E147,$B$4,$B$3)</f>
        <v>#NAME?</v>
      </c>
    </row>
    <row r="148" spans="4:6" x14ac:dyDescent="0.25">
      <c r="D148">
        <f t="shared" si="2"/>
        <v>146</v>
      </c>
      <c r="E148" t="e">
        <f ca="1">RANDOM($B$7)</f>
        <v>#NAME?</v>
      </c>
      <c r="F148" t="e">
        <f ca="1">WEIBULL_INV(E148,$B$4,$B$3)</f>
        <v>#NAME?</v>
      </c>
    </row>
    <row r="149" spans="4:6" x14ac:dyDescent="0.25">
      <c r="D149">
        <f t="shared" si="2"/>
        <v>147</v>
      </c>
      <c r="E149" t="e">
        <f ca="1">RANDOM($B$7)</f>
        <v>#NAME?</v>
      </c>
      <c r="F149" t="e">
        <f ca="1">WEIBULL_INV(E149,$B$4,$B$3)</f>
        <v>#NAME?</v>
      </c>
    </row>
    <row r="150" spans="4:6" x14ac:dyDescent="0.25">
      <c r="D150">
        <f t="shared" si="2"/>
        <v>148</v>
      </c>
      <c r="E150" t="e">
        <f ca="1">RANDOM($B$7)</f>
        <v>#NAME?</v>
      </c>
      <c r="F150" t="e">
        <f ca="1">WEIBULL_INV(E150,$B$4,$B$3)</f>
        <v>#NAME?</v>
      </c>
    </row>
    <row r="151" spans="4:6" x14ac:dyDescent="0.25">
      <c r="D151">
        <f t="shared" si="2"/>
        <v>149</v>
      </c>
      <c r="E151" t="e">
        <f ca="1">RANDOM($B$7)</f>
        <v>#NAME?</v>
      </c>
      <c r="F151" t="e">
        <f ca="1">WEIBULL_INV(E151,$B$4,$B$3)</f>
        <v>#NAME?</v>
      </c>
    </row>
    <row r="152" spans="4:6" x14ac:dyDescent="0.25">
      <c r="D152">
        <f t="shared" si="2"/>
        <v>150</v>
      </c>
      <c r="E152" t="e">
        <f ca="1">RANDOM($B$7)</f>
        <v>#NAME?</v>
      </c>
      <c r="F152" t="e">
        <f ca="1">WEIBULL_INV(E152,$B$4,$B$3)</f>
        <v>#NAME?</v>
      </c>
    </row>
    <row r="153" spans="4:6" x14ac:dyDescent="0.25">
      <c r="D153">
        <f t="shared" si="2"/>
        <v>151</v>
      </c>
      <c r="E153" t="e">
        <f ca="1">RANDOM($B$7)</f>
        <v>#NAME?</v>
      </c>
      <c r="F153" t="e">
        <f ca="1">WEIBULL_INV(E153,$B$4,$B$3)</f>
        <v>#NAME?</v>
      </c>
    </row>
    <row r="154" spans="4:6" x14ac:dyDescent="0.25">
      <c r="D154">
        <f t="shared" si="2"/>
        <v>152</v>
      </c>
      <c r="E154" t="e">
        <f ca="1">RANDOM($B$7)</f>
        <v>#NAME?</v>
      </c>
      <c r="F154" t="e">
        <f ca="1">WEIBULL_INV(E154,$B$4,$B$3)</f>
        <v>#NAME?</v>
      </c>
    </row>
    <row r="155" spans="4:6" x14ac:dyDescent="0.25">
      <c r="D155">
        <f t="shared" si="2"/>
        <v>153</v>
      </c>
      <c r="E155" t="e">
        <f ca="1">RANDOM($B$7)</f>
        <v>#NAME?</v>
      </c>
      <c r="F155" t="e">
        <f ca="1">WEIBULL_INV(E155,$B$4,$B$3)</f>
        <v>#NAME?</v>
      </c>
    </row>
    <row r="156" spans="4:6" x14ac:dyDescent="0.25">
      <c r="D156">
        <f t="shared" si="2"/>
        <v>154</v>
      </c>
      <c r="E156" t="e">
        <f ca="1">RANDOM($B$7)</f>
        <v>#NAME?</v>
      </c>
      <c r="F156" t="e">
        <f ca="1">WEIBULL_INV(E156,$B$4,$B$3)</f>
        <v>#NAME?</v>
      </c>
    </row>
    <row r="157" spans="4:6" x14ac:dyDescent="0.25">
      <c r="D157">
        <f t="shared" si="2"/>
        <v>155</v>
      </c>
      <c r="E157" t="e">
        <f ca="1">RANDOM($B$7)</f>
        <v>#NAME?</v>
      </c>
      <c r="F157" t="e">
        <f ca="1">WEIBULL_INV(E157,$B$4,$B$3)</f>
        <v>#NAME?</v>
      </c>
    </row>
    <row r="158" spans="4:6" x14ac:dyDescent="0.25">
      <c r="D158">
        <f t="shared" si="2"/>
        <v>156</v>
      </c>
      <c r="E158" t="e">
        <f ca="1">RANDOM($B$7)</f>
        <v>#NAME?</v>
      </c>
      <c r="F158" t="e">
        <f ca="1">WEIBULL_INV(E158,$B$4,$B$3)</f>
        <v>#NAME?</v>
      </c>
    </row>
    <row r="159" spans="4:6" x14ac:dyDescent="0.25">
      <c r="D159">
        <f t="shared" si="2"/>
        <v>157</v>
      </c>
      <c r="E159" t="e">
        <f ca="1">RANDOM($B$7)</f>
        <v>#NAME?</v>
      </c>
      <c r="F159" t="e">
        <f ca="1">WEIBULL_INV(E159,$B$4,$B$3)</f>
        <v>#NAME?</v>
      </c>
    </row>
    <row r="160" spans="4:6" x14ac:dyDescent="0.25">
      <c r="D160">
        <f t="shared" si="2"/>
        <v>158</v>
      </c>
      <c r="E160" t="e">
        <f ca="1">RANDOM($B$7)</f>
        <v>#NAME?</v>
      </c>
      <c r="F160" t="e">
        <f ca="1">WEIBULL_INV(E160,$B$4,$B$3)</f>
        <v>#NAME?</v>
      </c>
    </row>
    <row r="161" spans="4:6" x14ac:dyDescent="0.25">
      <c r="D161">
        <f t="shared" si="2"/>
        <v>159</v>
      </c>
      <c r="E161" t="e">
        <f ca="1">RANDOM($B$7)</f>
        <v>#NAME?</v>
      </c>
      <c r="F161" t="e">
        <f ca="1">WEIBULL_INV(E161,$B$4,$B$3)</f>
        <v>#NAME?</v>
      </c>
    </row>
    <row r="162" spans="4:6" x14ac:dyDescent="0.25">
      <c r="D162">
        <f t="shared" si="2"/>
        <v>160</v>
      </c>
      <c r="E162" t="e">
        <f ca="1">RANDOM($B$7)</f>
        <v>#NAME?</v>
      </c>
      <c r="F162" t="e">
        <f ca="1">WEIBULL_INV(E162,$B$4,$B$3)</f>
        <v>#NAME?</v>
      </c>
    </row>
    <row r="163" spans="4:6" x14ac:dyDescent="0.25">
      <c r="D163">
        <f t="shared" si="2"/>
        <v>161</v>
      </c>
      <c r="E163" t="e">
        <f ca="1">RANDOM($B$7)</f>
        <v>#NAME?</v>
      </c>
      <c r="F163" t="e">
        <f ca="1">WEIBULL_INV(E163,$B$4,$B$3)</f>
        <v>#NAME?</v>
      </c>
    </row>
    <row r="164" spans="4:6" x14ac:dyDescent="0.25">
      <c r="D164">
        <f t="shared" si="2"/>
        <v>162</v>
      </c>
      <c r="E164" t="e">
        <f ca="1">RANDOM($B$7)</f>
        <v>#NAME?</v>
      </c>
      <c r="F164" t="e">
        <f ca="1">WEIBULL_INV(E164,$B$4,$B$3)</f>
        <v>#NAME?</v>
      </c>
    </row>
    <row r="165" spans="4:6" x14ac:dyDescent="0.25">
      <c r="D165">
        <f t="shared" si="2"/>
        <v>163</v>
      </c>
      <c r="E165" t="e">
        <f ca="1">RANDOM($B$7)</f>
        <v>#NAME?</v>
      </c>
      <c r="F165" t="e">
        <f ca="1">WEIBULL_INV(E165,$B$4,$B$3)</f>
        <v>#NAME?</v>
      </c>
    </row>
    <row r="166" spans="4:6" x14ac:dyDescent="0.25">
      <c r="D166">
        <f t="shared" si="2"/>
        <v>164</v>
      </c>
      <c r="E166" t="e">
        <f ca="1">RANDOM($B$7)</f>
        <v>#NAME?</v>
      </c>
      <c r="F166" t="e">
        <f ca="1">WEIBULL_INV(E166,$B$4,$B$3)</f>
        <v>#NAME?</v>
      </c>
    </row>
    <row r="167" spans="4:6" x14ac:dyDescent="0.25">
      <c r="D167">
        <f t="shared" si="2"/>
        <v>165</v>
      </c>
      <c r="E167" t="e">
        <f ca="1">RANDOM($B$7)</f>
        <v>#NAME?</v>
      </c>
      <c r="F167" t="e">
        <f ca="1">WEIBULL_INV(E167,$B$4,$B$3)</f>
        <v>#NAME?</v>
      </c>
    </row>
    <row r="168" spans="4:6" x14ac:dyDescent="0.25">
      <c r="D168">
        <f t="shared" si="2"/>
        <v>166</v>
      </c>
      <c r="E168" t="e">
        <f ca="1">RANDOM($B$7)</f>
        <v>#NAME?</v>
      </c>
      <c r="F168" t="e">
        <f ca="1">WEIBULL_INV(E168,$B$4,$B$3)</f>
        <v>#NAME?</v>
      </c>
    </row>
    <row r="169" spans="4:6" x14ac:dyDescent="0.25">
      <c r="D169">
        <f t="shared" si="2"/>
        <v>167</v>
      </c>
      <c r="E169" t="e">
        <f ca="1">RANDOM($B$7)</f>
        <v>#NAME?</v>
      </c>
      <c r="F169" t="e">
        <f ca="1">WEIBULL_INV(E169,$B$4,$B$3)</f>
        <v>#NAME?</v>
      </c>
    </row>
    <row r="170" spans="4:6" x14ac:dyDescent="0.25">
      <c r="D170">
        <f t="shared" si="2"/>
        <v>168</v>
      </c>
      <c r="E170" t="e">
        <f ca="1">RANDOM($B$7)</f>
        <v>#NAME?</v>
      </c>
      <c r="F170" t="e">
        <f ca="1">WEIBULL_INV(E170,$B$4,$B$3)</f>
        <v>#NAME?</v>
      </c>
    </row>
    <row r="171" spans="4:6" x14ac:dyDescent="0.25">
      <c r="D171">
        <f t="shared" si="2"/>
        <v>169</v>
      </c>
      <c r="E171" t="e">
        <f ca="1">RANDOM($B$7)</f>
        <v>#NAME?</v>
      </c>
      <c r="F171" t="e">
        <f ca="1">WEIBULL_INV(E171,$B$4,$B$3)</f>
        <v>#NAME?</v>
      </c>
    </row>
    <row r="172" spans="4:6" x14ac:dyDescent="0.25">
      <c r="D172">
        <f t="shared" si="2"/>
        <v>170</v>
      </c>
      <c r="E172" t="e">
        <f ca="1">RANDOM($B$7)</f>
        <v>#NAME?</v>
      </c>
      <c r="F172" t="e">
        <f ca="1">WEIBULL_INV(E172,$B$4,$B$3)</f>
        <v>#NAME?</v>
      </c>
    </row>
    <row r="173" spans="4:6" x14ac:dyDescent="0.25">
      <c r="D173">
        <f t="shared" si="2"/>
        <v>171</v>
      </c>
      <c r="E173" t="e">
        <f ca="1">RANDOM($B$7)</f>
        <v>#NAME?</v>
      </c>
      <c r="F173" t="e">
        <f ca="1">WEIBULL_INV(E173,$B$4,$B$3)</f>
        <v>#NAME?</v>
      </c>
    </row>
    <row r="174" spans="4:6" x14ac:dyDescent="0.25">
      <c r="D174">
        <f t="shared" si="2"/>
        <v>172</v>
      </c>
      <c r="E174" t="e">
        <f ca="1">RANDOM($B$7)</f>
        <v>#NAME?</v>
      </c>
      <c r="F174" t="e">
        <f ca="1">WEIBULL_INV(E174,$B$4,$B$3)</f>
        <v>#NAME?</v>
      </c>
    </row>
    <row r="175" spans="4:6" x14ac:dyDescent="0.25">
      <c r="D175">
        <f t="shared" si="2"/>
        <v>173</v>
      </c>
      <c r="E175" t="e">
        <f ca="1">RANDOM($B$7)</f>
        <v>#NAME?</v>
      </c>
      <c r="F175" t="e">
        <f ca="1">WEIBULL_INV(E175,$B$4,$B$3)</f>
        <v>#NAME?</v>
      </c>
    </row>
    <row r="176" spans="4:6" x14ac:dyDescent="0.25">
      <c r="D176">
        <f t="shared" si="2"/>
        <v>174</v>
      </c>
      <c r="E176" t="e">
        <f ca="1">RANDOM($B$7)</f>
        <v>#NAME?</v>
      </c>
      <c r="F176" t="e">
        <f ca="1">WEIBULL_INV(E176,$B$4,$B$3)</f>
        <v>#NAME?</v>
      </c>
    </row>
    <row r="177" spans="4:6" x14ac:dyDescent="0.25">
      <c r="D177">
        <f t="shared" si="2"/>
        <v>175</v>
      </c>
      <c r="E177" t="e">
        <f ca="1">RANDOM($B$7)</f>
        <v>#NAME?</v>
      </c>
      <c r="F177" t="e">
        <f ca="1">WEIBULL_INV(E177,$B$4,$B$3)</f>
        <v>#NAME?</v>
      </c>
    </row>
    <row r="178" spans="4:6" x14ac:dyDescent="0.25">
      <c r="D178">
        <f t="shared" si="2"/>
        <v>176</v>
      </c>
      <c r="E178" t="e">
        <f ca="1">RANDOM($B$7)</f>
        <v>#NAME?</v>
      </c>
      <c r="F178" t="e">
        <f ca="1">WEIBULL_INV(E178,$B$4,$B$3)</f>
        <v>#NAME?</v>
      </c>
    </row>
    <row r="179" spans="4:6" x14ac:dyDescent="0.25">
      <c r="D179">
        <f t="shared" si="2"/>
        <v>177</v>
      </c>
      <c r="E179" t="e">
        <f ca="1">RANDOM($B$7)</f>
        <v>#NAME?</v>
      </c>
      <c r="F179" t="e">
        <f ca="1">WEIBULL_INV(E179,$B$4,$B$3)</f>
        <v>#NAME?</v>
      </c>
    </row>
    <row r="180" spans="4:6" x14ac:dyDescent="0.25">
      <c r="D180">
        <f t="shared" si="2"/>
        <v>178</v>
      </c>
      <c r="E180" t="e">
        <f ca="1">RANDOM($B$7)</f>
        <v>#NAME?</v>
      </c>
      <c r="F180" t="e">
        <f ca="1">WEIBULL_INV(E180,$B$4,$B$3)</f>
        <v>#NAME?</v>
      </c>
    </row>
    <row r="181" spans="4:6" x14ac:dyDescent="0.25">
      <c r="D181">
        <f t="shared" si="2"/>
        <v>179</v>
      </c>
      <c r="E181" t="e">
        <f ca="1">RANDOM($B$7)</f>
        <v>#NAME?</v>
      </c>
      <c r="F181" t="e">
        <f ca="1">WEIBULL_INV(E181,$B$4,$B$3)</f>
        <v>#NAME?</v>
      </c>
    </row>
    <row r="182" spans="4:6" x14ac:dyDescent="0.25">
      <c r="D182">
        <f t="shared" si="2"/>
        <v>180</v>
      </c>
      <c r="E182" t="e">
        <f ca="1">RANDOM($B$7)</f>
        <v>#NAME?</v>
      </c>
      <c r="F182" t="e">
        <f ca="1">WEIBULL_INV(E182,$B$4,$B$3)</f>
        <v>#NAME?</v>
      </c>
    </row>
    <row r="183" spans="4:6" x14ac:dyDescent="0.25">
      <c r="D183">
        <f t="shared" si="2"/>
        <v>181</v>
      </c>
      <c r="E183" t="e">
        <f ca="1">RANDOM($B$7)</f>
        <v>#NAME?</v>
      </c>
      <c r="F183" t="e">
        <f ca="1">WEIBULL_INV(E183,$B$4,$B$3)</f>
        <v>#NAME?</v>
      </c>
    </row>
    <row r="184" spans="4:6" x14ac:dyDescent="0.25">
      <c r="D184">
        <f t="shared" si="2"/>
        <v>182</v>
      </c>
      <c r="E184" t="e">
        <f ca="1">RANDOM($B$7)</f>
        <v>#NAME?</v>
      </c>
      <c r="F184" t="e">
        <f ca="1">WEIBULL_INV(E184,$B$4,$B$3)</f>
        <v>#NAME?</v>
      </c>
    </row>
    <row r="185" spans="4:6" x14ac:dyDescent="0.25">
      <c r="D185">
        <f t="shared" si="2"/>
        <v>183</v>
      </c>
      <c r="E185" t="e">
        <f ca="1">RANDOM($B$7)</f>
        <v>#NAME?</v>
      </c>
      <c r="F185" t="e">
        <f ca="1">WEIBULL_INV(E185,$B$4,$B$3)</f>
        <v>#NAME?</v>
      </c>
    </row>
    <row r="186" spans="4:6" x14ac:dyDescent="0.25">
      <c r="D186">
        <f t="shared" si="2"/>
        <v>184</v>
      </c>
      <c r="E186" t="e">
        <f ca="1">RANDOM($B$7)</f>
        <v>#NAME?</v>
      </c>
      <c r="F186" t="e">
        <f ca="1">WEIBULL_INV(E186,$B$4,$B$3)</f>
        <v>#NAME?</v>
      </c>
    </row>
    <row r="187" spans="4:6" x14ac:dyDescent="0.25">
      <c r="D187">
        <f t="shared" si="2"/>
        <v>185</v>
      </c>
      <c r="E187" t="e">
        <f ca="1">RANDOM($B$7)</f>
        <v>#NAME?</v>
      </c>
      <c r="F187" t="e">
        <f ca="1">WEIBULL_INV(E187,$B$4,$B$3)</f>
        <v>#NAME?</v>
      </c>
    </row>
    <row r="188" spans="4:6" x14ac:dyDescent="0.25">
      <c r="D188">
        <f t="shared" si="2"/>
        <v>186</v>
      </c>
      <c r="E188" t="e">
        <f ca="1">RANDOM($B$7)</f>
        <v>#NAME?</v>
      </c>
      <c r="F188" t="e">
        <f ca="1">WEIBULL_INV(E188,$B$4,$B$3)</f>
        <v>#NAME?</v>
      </c>
    </row>
    <row r="189" spans="4:6" x14ac:dyDescent="0.25">
      <c r="D189">
        <f t="shared" si="2"/>
        <v>187</v>
      </c>
      <c r="E189" t="e">
        <f ca="1">RANDOM($B$7)</f>
        <v>#NAME?</v>
      </c>
      <c r="F189" t="e">
        <f ca="1">WEIBULL_INV(E189,$B$4,$B$3)</f>
        <v>#NAME?</v>
      </c>
    </row>
    <row r="190" spans="4:6" x14ac:dyDescent="0.25">
      <c r="D190">
        <f t="shared" si="2"/>
        <v>188</v>
      </c>
      <c r="E190" t="e">
        <f ca="1">RANDOM($B$7)</f>
        <v>#NAME?</v>
      </c>
      <c r="F190" t="e">
        <f ca="1">WEIBULL_INV(E190,$B$4,$B$3)</f>
        <v>#NAME?</v>
      </c>
    </row>
    <row r="191" spans="4:6" x14ac:dyDescent="0.25">
      <c r="D191">
        <f t="shared" si="2"/>
        <v>189</v>
      </c>
      <c r="E191" t="e">
        <f ca="1">RANDOM($B$7)</f>
        <v>#NAME?</v>
      </c>
      <c r="F191" t="e">
        <f ca="1">WEIBULL_INV(E191,$B$4,$B$3)</f>
        <v>#NAME?</v>
      </c>
    </row>
    <row r="192" spans="4:6" x14ac:dyDescent="0.25">
      <c r="D192">
        <f t="shared" si="2"/>
        <v>190</v>
      </c>
      <c r="E192" t="e">
        <f ca="1">RANDOM($B$7)</f>
        <v>#NAME?</v>
      </c>
      <c r="F192" t="e">
        <f ca="1">WEIBULL_INV(E192,$B$4,$B$3)</f>
        <v>#NAME?</v>
      </c>
    </row>
    <row r="193" spans="4:6" x14ac:dyDescent="0.25">
      <c r="D193">
        <f t="shared" si="2"/>
        <v>191</v>
      </c>
      <c r="E193" t="e">
        <f ca="1">RANDOM($B$7)</f>
        <v>#NAME?</v>
      </c>
      <c r="F193" t="e">
        <f ca="1">WEIBULL_INV(E193,$B$4,$B$3)</f>
        <v>#NAME?</v>
      </c>
    </row>
    <row r="194" spans="4:6" x14ac:dyDescent="0.25">
      <c r="D194">
        <f t="shared" si="2"/>
        <v>192</v>
      </c>
      <c r="E194" t="e">
        <f ca="1">RANDOM($B$7)</f>
        <v>#NAME?</v>
      </c>
      <c r="F194" t="e">
        <f ca="1">WEIBULL_INV(E194,$B$4,$B$3)</f>
        <v>#NAME?</v>
      </c>
    </row>
    <row r="195" spans="4:6" x14ac:dyDescent="0.25">
      <c r="D195">
        <f t="shared" si="2"/>
        <v>193</v>
      </c>
      <c r="E195" t="e">
        <f ca="1">RANDOM($B$7)</f>
        <v>#NAME?</v>
      </c>
      <c r="F195" t="e">
        <f ca="1">WEIBULL_INV(E195,$B$4,$B$3)</f>
        <v>#NAME?</v>
      </c>
    </row>
    <row r="196" spans="4:6" x14ac:dyDescent="0.25">
      <c r="D196">
        <f t="shared" si="2"/>
        <v>194</v>
      </c>
      <c r="E196" t="e">
        <f ca="1">RANDOM($B$7)</f>
        <v>#NAME?</v>
      </c>
      <c r="F196" t="e">
        <f ca="1">WEIBULL_INV(E196,$B$4,$B$3)</f>
        <v>#NAME?</v>
      </c>
    </row>
    <row r="197" spans="4:6" x14ac:dyDescent="0.25">
      <c r="D197">
        <f t="shared" ref="D197:D260" si="3">D196+1</f>
        <v>195</v>
      </c>
      <c r="E197" t="e">
        <f ca="1">RANDOM($B$7)</f>
        <v>#NAME?</v>
      </c>
      <c r="F197" t="e">
        <f ca="1">WEIBULL_INV(E197,$B$4,$B$3)</f>
        <v>#NAME?</v>
      </c>
    </row>
    <row r="198" spans="4:6" x14ac:dyDescent="0.25">
      <c r="D198">
        <f t="shared" si="3"/>
        <v>196</v>
      </c>
      <c r="E198" t="e">
        <f ca="1">RANDOM($B$7)</f>
        <v>#NAME?</v>
      </c>
      <c r="F198" t="e">
        <f ca="1">WEIBULL_INV(E198,$B$4,$B$3)</f>
        <v>#NAME?</v>
      </c>
    </row>
    <row r="199" spans="4:6" x14ac:dyDescent="0.25">
      <c r="D199">
        <f t="shared" si="3"/>
        <v>197</v>
      </c>
      <c r="E199" t="e">
        <f ca="1">RANDOM($B$7)</f>
        <v>#NAME?</v>
      </c>
      <c r="F199" t="e">
        <f ca="1">WEIBULL_INV(E199,$B$4,$B$3)</f>
        <v>#NAME?</v>
      </c>
    </row>
    <row r="200" spans="4:6" x14ac:dyDescent="0.25">
      <c r="D200">
        <f t="shared" si="3"/>
        <v>198</v>
      </c>
      <c r="E200" t="e">
        <f ca="1">RANDOM($B$7)</f>
        <v>#NAME?</v>
      </c>
      <c r="F200" t="e">
        <f ca="1">WEIBULL_INV(E200,$B$4,$B$3)</f>
        <v>#NAME?</v>
      </c>
    </row>
    <row r="201" spans="4:6" x14ac:dyDescent="0.25">
      <c r="D201">
        <f t="shared" si="3"/>
        <v>199</v>
      </c>
      <c r="E201" t="e">
        <f ca="1">RANDOM($B$7)</f>
        <v>#NAME?</v>
      </c>
      <c r="F201" t="e">
        <f ca="1">WEIBULL_INV(E201,$B$4,$B$3)</f>
        <v>#NAME?</v>
      </c>
    </row>
    <row r="202" spans="4:6" x14ac:dyDescent="0.25">
      <c r="D202">
        <f t="shared" si="3"/>
        <v>200</v>
      </c>
      <c r="E202" t="e">
        <f ca="1">RANDOM($B$7)</f>
        <v>#NAME?</v>
      </c>
      <c r="F202" t="e">
        <f ca="1">WEIBULL_INV(E202,$B$4,$B$3)</f>
        <v>#NAME?</v>
      </c>
    </row>
    <row r="203" spans="4:6" x14ac:dyDescent="0.25">
      <c r="D203">
        <f t="shared" si="3"/>
        <v>201</v>
      </c>
      <c r="E203" t="e">
        <f ca="1">RANDOM($B$7)</f>
        <v>#NAME?</v>
      </c>
      <c r="F203" t="e">
        <f ca="1">WEIBULL_INV(E203,$B$4,$B$3)</f>
        <v>#NAME?</v>
      </c>
    </row>
    <row r="204" spans="4:6" x14ac:dyDescent="0.25">
      <c r="D204">
        <f t="shared" si="3"/>
        <v>202</v>
      </c>
      <c r="E204" t="e">
        <f ca="1">RANDOM($B$7)</f>
        <v>#NAME?</v>
      </c>
      <c r="F204" t="e">
        <f ca="1">WEIBULL_INV(E204,$B$4,$B$3)</f>
        <v>#NAME?</v>
      </c>
    </row>
    <row r="205" spans="4:6" x14ac:dyDescent="0.25">
      <c r="D205">
        <f t="shared" si="3"/>
        <v>203</v>
      </c>
      <c r="E205" t="e">
        <f ca="1">RANDOM($B$7)</f>
        <v>#NAME?</v>
      </c>
      <c r="F205" t="e">
        <f ca="1">WEIBULL_INV(E205,$B$4,$B$3)</f>
        <v>#NAME?</v>
      </c>
    </row>
    <row r="206" spans="4:6" x14ac:dyDescent="0.25">
      <c r="D206">
        <f t="shared" si="3"/>
        <v>204</v>
      </c>
      <c r="E206" t="e">
        <f ca="1">RANDOM($B$7)</f>
        <v>#NAME?</v>
      </c>
      <c r="F206" t="e">
        <f ca="1">WEIBULL_INV(E206,$B$4,$B$3)</f>
        <v>#NAME?</v>
      </c>
    </row>
    <row r="207" spans="4:6" x14ac:dyDescent="0.25">
      <c r="D207">
        <f t="shared" si="3"/>
        <v>205</v>
      </c>
      <c r="E207" t="e">
        <f ca="1">RANDOM($B$7)</f>
        <v>#NAME?</v>
      </c>
      <c r="F207" t="e">
        <f ca="1">WEIBULL_INV(E207,$B$4,$B$3)</f>
        <v>#NAME?</v>
      </c>
    </row>
    <row r="208" spans="4:6" x14ac:dyDescent="0.25">
      <c r="D208">
        <f t="shared" si="3"/>
        <v>206</v>
      </c>
      <c r="E208" t="e">
        <f ca="1">RANDOM($B$7)</f>
        <v>#NAME?</v>
      </c>
      <c r="F208" t="e">
        <f ca="1">WEIBULL_INV(E208,$B$4,$B$3)</f>
        <v>#NAME?</v>
      </c>
    </row>
    <row r="209" spans="4:6" x14ac:dyDescent="0.25">
      <c r="D209">
        <f t="shared" si="3"/>
        <v>207</v>
      </c>
      <c r="E209" t="e">
        <f ca="1">RANDOM($B$7)</f>
        <v>#NAME?</v>
      </c>
      <c r="F209" t="e">
        <f ca="1">WEIBULL_INV(E209,$B$4,$B$3)</f>
        <v>#NAME?</v>
      </c>
    </row>
    <row r="210" spans="4:6" x14ac:dyDescent="0.25">
      <c r="D210">
        <f t="shared" si="3"/>
        <v>208</v>
      </c>
      <c r="E210" t="e">
        <f ca="1">RANDOM($B$7)</f>
        <v>#NAME?</v>
      </c>
      <c r="F210" t="e">
        <f ca="1">WEIBULL_INV(E210,$B$4,$B$3)</f>
        <v>#NAME?</v>
      </c>
    </row>
    <row r="211" spans="4:6" x14ac:dyDescent="0.25">
      <c r="D211">
        <f t="shared" si="3"/>
        <v>209</v>
      </c>
      <c r="E211" t="e">
        <f ca="1">RANDOM($B$7)</f>
        <v>#NAME?</v>
      </c>
      <c r="F211" t="e">
        <f ca="1">WEIBULL_INV(E211,$B$4,$B$3)</f>
        <v>#NAME?</v>
      </c>
    </row>
    <row r="212" spans="4:6" x14ac:dyDescent="0.25">
      <c r="D212">
        <f t="shared" si="3"/>
        <v>210</v>
      </c>
      <c r="E212" t="e">
        <f ca="1">RANDOM($B$7)</f>
        <v>#NAME?</v>
      </c>
      <c r="F212" t="e">
        <f ca="1">WEIBULL_INV(E212,$B$4,$B$3)</f>
        <v>#NAME?</v>
      </c>
    </row>
    <row r="213" spans="4:6" x14ac:dyDescent="0.25">
      <c r="D213">
        <f t="shared" si="3"/>
        <v>211</v>
      </c>
      <c r="E213" t="e">
        <f ca="1">RANDOM($B$7)</f>
        <v>#NAME?</v>
      </c>
      <c r="F213" t="e">
        <f ca="1">WEIBULL_INV(E213,$B$4,$B$3)</f>
        <v>#NAME?</v>
      </c>
    </row>
    <row r="214" spans="4:6" x14ac:dyDescent="0.25">
      <c r="D214">
        <f t="shared" si="3"/>
        <v>212</v>
      </c>
      <c r="E214" t="e">
        <f ca="1">RANDOM($B$7)</f>
        <v>#NAME?</v>
      </c>
      <c r="F214" t="e">
        <f ca="1">WEIBULL_INV(E214,$B$4,$B$3)</f>
        <v>#NAME?</v>
      </c>
    </row>
    <row r="215" spans="4:6" x14ac:dyDescent="0.25">
      <c r="D215">
        <f t="shared" si="3"/>
        <v>213</v>
      </c>
      <c r="E215" t="e">
        <f ca="1">RANDOM($B$7)</f>
        <v>#NAME?</v>
      </c>
      <c r="F215" t="e">
        <f ca="1">WEIBULL_INV(E215,$B$4,$B$3)</f>
        <v>#NAME?</v>
      </c>
    </row>
    <row r="216" spans="4:6" x14ac:dyDescent="0.25">
      <c r="D216">
        <f t="shared" si="3"/>
        <v>214</v>
      </c>
      <c r="E216" t="e">
        <f ca="1">RANDOM($B$7)</f>
        <v>#NAME?</v>
      </c>
      <c r="F216" t="e">
        <f ca="1">WEIBULL_INV(E216,$B$4,$B$3)</f>
        <v>#NAME?</v>
      </c>
    </row>
    <row r="217" spans="4:6" x14ac:dyDescent="0.25">
      <c r="D217">
        <f t="shared" si="3"/>
        <v>215</v>
      </c>
      <c r="E217" t="e">
        <f ca="1">RANDOM($B$7)</f>
        <v>#NAME?</v>
      </c>
      <c r="F217" t="e">
        <f ca="1">WEIBULL_INV(E217,$B$4,$B$3)</f>
        <v>#NAME?</v>
      </c>
    </row>
    <row r="218" spans="4:6" x14ac:dyDescent="0.25">
      <c r="D218">
        <f t="shared" si="3"/>
        <v>216</v>
      </c>
      <c r="E218" t="e">
        <f ca="1">RANDOM($B$7)</f>
        <v>#NAME?</v>
      </c>
      <c r="F218" t="e">
        <f ca="1">WEIBULL_INV(E218,$B$4,$B$3)</f>
        <v>#NAME?</v>
      </c>
    </row>
    <row r="219" spans="4:6" x14ac:dyDescent="0.25">
      <c r="D219">
        <f t="shared" si="3"/>
        <v>217</v>
      </c>
      <c r="E219" t="e">
        <f ca="1">RANDOM($B$7)</f>
        <v>#NAME?</v>
      </c>
      <c r="F219" t="e">
        <f ca="1">WEIBULL_INV(E219,$B$4,$B$3)</f>
        <v>#NAME?</v>
      </c>
    </row>
    <row r="220" spans="4:6" x14ac:dyDescent="0.25">
      <c r="D220">
        <f t="shared" si="3"/>
        <v>218</v>
      </c>
      <c r="E220" t="e">
        <f ca="1">RANDOM($B$7)</f>
        <v>#NAME?</v>
      </c>
      <c r="F220" t="e">
        <f ca="1">WEIBULL_INV(E220,$B$4,$B$3)</f>
        <v>#NAME?</v>
      </c>
    </row>
    <row r="221" spans="4:6" x14ac:dyDescent="0.25">
      <c r="D221">
        <f t="shared" si="3"/>
        <v>219</v>
      </c>
      <c r="E221" t="e">
        <f ca="1">RANDOM($B$7)</f>
        <v>#NAME?</v>
      </c>
      <c r="F221" t="e">
        <f ca="1">WEIBULL_INV(E221,$B$4,$B$3)</f>
        <v>#NAME?</v>
      </c>
    </row>
    <row r="222" spans="4:6" x14ac:dyDescent="0.25">
      <c r="D222">
        <f t="shared" si="3"/>
        <v>220</v>
      </c>
      <c r="E222" t="e">
        <f ca="1">RANDOM($B$7)</f>
        <v>#NAME?</v>
      </c>
      <c r="F222" t="e">
        <f ca="1">WEIBULL_INV(E222,$B$4,$B$3)</f>
        <v>#NAME?</v>
      </c>
    </row>
    <row r="223" spans="4:6" x14ac:dyDescent="0.25">
      <c r="D223">
        <f t="shared" si="3"/>
        <v>221</v>
      </c>
      <c r="E223" t="e">
        <f ca="1">RANDOM($B$7)</f>
        <v>#NAME?</v>
      </c>
      <c r="F223" t="e">
        <f ca="1">WEIBULL_INV(E223,$B$4,$B$3)</f>
        <v>#NAME?</v>
      </c>
    </row>
    <row r="224" spans="4:6" x14ac:dyDescent="0.25">
      <c r="D224">
        <f t="shared" si="3"/>
        <v>222</v>
      </c>
      <c r="E224" t="e">
        <f ca="1">RANDOM($B$7)</f>
        <v>#NAME?</v>
      </c>
      <c r="F224" t="e">
        <f ca="1">WEIBULL_INV(E224,$B$4,$B$3)</f>
        <v>#NAME?</v>
      </c>
    </row>
    <row r="225" spans="4:6" x14ac:dyDescent="0.25">
      <c r="D225">
        <f t="shared" si="3"/>
        <v>223</v>
      </c>
      <c r="E225" t="e">
        <f ca="1">RANDOM($B$7)</f>
        <v>#NAME?</v>
      </c>
      <c r="F225" t="e">
        <f ca="1">WEIBULL_INV(E225,$B$4,$B$3)</f>
        <v>#NAME?</v>
      </c>
    </row>
    <row r="226" spans="4:6" x14ac:dyDescent="0.25">
      <c r="D226">
        <f t="shared" si="3"/>
        <v>224</v>
      </c>
      <c r="E226" t="e">
        <f ca="1">RANDOM($B$7)</f>
        <v>#NAME?</v>
      </c>
      <c r="F226" t="e">
        <f ca="1">WEIBULL_INV(E226,$B$4,$B$3)</f>
        <v>#NAME?</v>
      </c>
    </row>
    <row r="227" spans="4:6" x14ac:dyDescent="0.25">
      <c r="D227">
        <f t="shared" si="3"/>
        <v>225</v>
      </c>
      <c r="E227" t="e">
        <f ca="1">RANDOM($B$7)</f>
        <v>#NAME?</v>
      </c>
      <c r="F227" t="e">
        <f ca="1">WEIBULL_INV(E227,$B$4,$B$3)</f>
        <v>#NAME?</v>
      </c>
    </row>
    <row r="228" spans="4:6" x14ac:dyDescent="0.25">
      <c r="D228">
        <f t="shared" si="3"/>
        <v>226</v>
      </c>
      <c r="E228" t="e">
        <f ca="1">RANDOM($B$7)</f>
        <v>#NAME?</v>
      </c>
      <c r="F228" t="e">
        <f ca="1">WEIBULL_INV(E228,$B$4,$B$3)</f>
        <v>#NAME?</v>
      </c>
    </row>
    <row r="229" spans="4:6" x14ac:dyDescent="0.25">
      <c r="D229">
        <f t="shared" si="3"/>
        <v>227</v>
      </c>
      <c r="E229" t="e">
        <f ca="1">RANDOM($B$7)</f>
        <v>#NAME?</v>
      </c>
      <c r="F229" t="e">
        <f ca="1">WEIBULL_INV(E229,$B$4,$B$3)</f>
        <v>#NAME?</v>
      </c>
    </row>
    <row r="230" spans="4:6" x14ac:dyDescent="0.25">
      <c r="D230">
        <f t="shared" si="3"/>
        <v>228</v>
      </c>
      <c r="E230" t="e">
        <f ca="1">RANDOM($B$7)</f>
        <v>#NAME?</v>
      </c>
      <c r="F230" t="e">
        <f ca="1">WEIBULL_INV(E230,$B$4,$B$3)</f>
        <v>#NAME?</v>
      </c>
    </row>
    <row r="231" spans="4:6" x14ac:dyDescent="0.25">
      <c r="D231">
        <f t="shared" si="3"/>
        <v>229</v>
      </c>
      <c r="E231" t="e">
        <f ca="1">RANDOM($B$7)</f>
        <v>#NAME?</v>
      </c>
      <c r="F231" t="e">
        <f ca="1">WEIBULL_INV(E231,$B$4,$B$3)</f>
        <v>#NAME?</v>
      </c>
    </row>
    <row r="232" spans="4:6" x14ac:dyDescent="0.25">
      <c r="D232">
        <f t="shared" si="3"/>
        <v>230</v>
      </c>
      <c r="E232" t="e">
        <f ca="1">RANDOM($B$7)</f>
        <v>#NAME?</v>
      </c>
      <c r="F232" t="e">
        <f ca="1">WEIBULL_INV(E232,$B$4,$B$3)</f>
        <v>#NAME?</v>
      </c>
    </row>
    <row r="233" spans="4:6" x14ac:dyDescent="0.25">
      <c r="D233">
        <f t="shared" si="3"/>
        <v>231</v>
      </c>
      <c r="E233" t="e">
        <f ca="1">RANDOM($B$7)</f>
        <v>#NAME?</v>
      </c>
      <c r="F233" t="e">
        <f ca="1">WEIBULL_INV(E233,$B$4,$B$3)</f>
        <v>#NAME?</v>
      </c>
    </row>
    <row r="234" spans="4:6" x14ac:dyDescent="0.25">
      <c r="D234">
        <f t="shared" si="3"/>
        <v>232</v>
      </c>
      <c r="E234" t="e">
        <f ca="1">RANDOM($B$7)</f>
        <v>#NAME?</v>
      </c>
      <c r="F234" t="e">
        <f ca="1">WEIBULL_INV(E234,$B$4,$B$3)</f>
        <v>#NAME?</v>
      </c>
    </row>
    <row r="235" spans="4:6" x14ac:dyDescent="0.25">
      <c r="D235">
        <f t="shared" si="3"/>
        <v>233</v>
      </c>
      <c r="E235" t="e">
        <f ca="1">RANDOM($B$7)</f>
        <v>#NAME?</v>
      </c>
      <c r="F235" t="e">
        <f ca="1">WEIBULL_INV(E235,$B$4,$B$3)</f>
        <v>#NAME?</v>
      </c>
    </row>
    <row r="236" spans="4:6" x14ac:dyDescent="0.25">
      <c r="D236">
        <f t="shared" si="3"/>
        <v>234</v>
      </c>
      <c r="E236" t="e">
        <f ca="1">RANDOM($B$7)</f>
        <v>#NAME?</v>
      </c>
      <c r="F236" t="e">
        <f ca="1">WEIBULL_INV(E236,$B$4,$B$3)</f>
        <v>#NAME?</v>
      </c>
    </row>
    <row r="237" spans="4:6" x14ac:dyDescent="0.25">
      <c r="D237">
        <f t="shared" si="3"/>
        <v>235</v>
      </c>
      <c r="E237" t="e">
        <f ca="1">RANDOM($B$7)</f>
        <v>#NAME?</v>
      </c>
      <c r="F237" t="e">
        <f ca="1">WEIBULL_INV(E237,$B$4,$B$3)</f>
        <v>#NAME?</v>
      </c>
    </row>
    <row r="238" spans="4:6" x14ac:dyDescent="0.25">
      <c r="D238">
        <f t="shared" si="3"/>
        <v>236</v>
      </c>
      <c r="E238" t="e">
        <f ca="1">RANDOM($B$7)</f>
        <v>#NAME?</v>
      </c>
      <c r="F238" t="e">
        <f ca="1">WEIBULL_INV(E238,$B$4,$B$3)</f>
        <v>#NAME?</v>
      </c>
    </row>
    <row r="239" spans="4:6" x14ac:dyDescent="0.25">
      <c r="D239">
        <f t="shared" si="3"/>
        <v>237</v>
      </c>
      <c r="E239" t="e">
        <f ca="1">RANDOM($B$7)</f>
        <v>#NAME?</v>
      </c>
      <c r="F239" t="e">
        <f ca="1">WEIBULL_INV(E239,$B$4,$B$3)</f>
        <v>#NAME?</v>
      </c>
    </row>
    <row r="240" spans="4:6" x14ac:dyDescent="0.25">
      <c r="D240">
        <f t="shared" si="3"/>
        <v>238</v>
      </c>
      <c r="E240" t="e">
        <f ca="1">RANDOM($B$7)</f>
        <v>#NAME?</v>
      </c>
      <c r="F240" t="e">
        <f ca="1">WEIBULL_INV(E240,$B$4,$B$3)</f>
        <v>#NAME?</v>
      </c>
    </row>
    <row r="241" spans="4:6" x14ac:dyDescent="0.25">
      <c r="D241">
        <f t="shared" si="3"/>
        <v>239</v>
      </c>
      <c r="E241" t="e">
        <f ca="1">RANDOM($B$7)</f>
        <v>#NAME?</v>
      </c>
      <c r="F241" t="e">
        <f ca="1">WEIBULL_INV(E241,$B$4,$B$3)</f>
        <v>#NAME?</v>
      </c>
    </row>
    <row r="242" spans="4:6" x14ac:dyDescent="0.25">
      <c r="D242">
        <f t="shared" si="3"/>
        <v>240</v>
      </c>
      <c r="E242" t="e">
        <f ca="1">RANDOM($B$7)</f>
        <v>#NAME?</v>
      </c>
      <c r="F242" t="e">
        <f ca="1">WEIBULL_INV(E242,$B$4,$B$3)</f>
        <v>#NAME?</v>
      </c>
    </row>
    <row r="243" spans="4:6" x14ac:dyDescent="0.25">
      <c r="D243">
        <f t="shared" si="3"/>
        <v>241</v>
      </c>
      <c r="E243" t="e">
        <f ca="1">RANDOM($B$7)</f>
        <v>#NAME?</v>
      </c>
      <c r="F243" t="e">
        <f ca="1">WEIBULL_INV(E243,$B$4,$B$3)</f>
        <v>#NAME?</v>
      </c>
    </row>
    <row r="244" spans="4:6" x14ac:dyDescent="0.25">
      <c r="D244">
        <f t="shared" si="3"/>
        <v>242</v>
      </c>
      <c r="E244" t="e">
        <f ca="1">RANDOM($B$7)</f>
        <v>#NAME?</v>
      </c>
      <c r="F244" t="e">
        <f ca="1">WEIBULL_INV(E244,$B$4,$B$3)</f>
        <v>#NAME?</v>
      </c>
    </row>
    <row r="245" spans="4:6" x14ac:dyDescent="0.25">
      <c r="D245">
        <f t="shared" si="3"/>
        <v>243</v>
      </c>
      <c r="E245" t="e">
        <f ca="1">RANDOM($B$7)</f>
        <v>#NAME?</v>
      </c>
      <c r="F245" t="e">
        <f ca="1">WEIBULL_INV(E245,$B$4,$B$3)</f>
        <v>#NAME?</v>
      </c>
    </row>
    <row r="246" spans="4:6" x14ac:dyDescent="0.25">
      <c r="D246">
        <f t="shared" si="3"/>
        <v>244</v>
      </c>
      <c r="E246" t="e">
        <f ca="1">RANDOM($B$7)</f>
        <v>#NAME?</v>
      </c>
      <c r="F246" t="e">
        <f ca="1">WEIBULL_INV(E246,$B$4,$B$3)</f>
        <v>#NAME?</v>
      </c>
    </row>
    <row r="247" spans="4:6" x14ac:dyDescent="0.25">
      <c r="D247">
        <f t="shared" si="3"/>
        <v>245</v>
      </c>
      <c r="E247" t="e">
        <f ca="1">RANDOM($B$7)</f>
        <v>#NAME?</v>
      </c>
      <c r="F247" t="e">
        <f ca="1">WEIBULL_INV(E247,$B$4,$B$3)</f>
        <v>#NAME?</v>
      </c>
    </row>
    <row r="248" spans="4:6" x14ac:dyDescent="0.25">
      <c r="D248">
        <f t="shared" si="3"/>
        <v>246</v>
      </c>
      <c r="E248" t="e">
        <f ca="1">RANDOM($B$7)</f>
        <v>#NAME?</v>
      </c>
      <c r="F248" t="e">
        <f ca="1">WEIBULL_INV(E248,$B$4,$B$3)</f>
        <v>#NAME?</v>
      </c>
    </row>
    <row r="249" spans="4:6" x14ac:dyDescent="0.25">
      <c r="D249">
        <f t="shared" si="3"/>
        <v>247</v>
      </c>
      <c r="E249" t="e">
        <f ca="1">RANDOM($B$7)</f>
        <v>#NAME?</v>
      </c>
      <c r="F249" t="e">
        <f ca="1">WEIBULL_INV(E249,$B$4,$B$3)</f>
        <v>#NAME?</v>
      </c>
    </row>
    <row r="250" spans="4:6" x14ac:dyDescent="0.25">
      <c r="D250">
        <f t="shared" si="3"/>
        <v>248</v>
      </c>
      <c r="E250" t="e">
        <f ca="1">RANDOM($B$7)</f>
        <v>#NAME?</v>
      </c>
      <c r="F250" t="e">
        <f ca="1">WEIBULL_INV(E250,$B$4,$B$3)</f>
        <v>#NAME?</v>
      </c>
    </row>
    <row r="251" spans="4:6" x14ac:dyDescent="0.25">
      <c r="D251">
        <f t="shared" si="3"/>
        <v>249</v>
      </c>
      <c r="E251" t="e">
        <f ca="1">RANDOM($B$7)</f>
        <v>#NAME?</v>
      </c>
      <c r="F251" t="e">
        <f ca="1">WEIBULL_INV(E251,$B$4,$B$3)</f>
        <v>#NAME?</v>
      </c>
    </row>
    <row r="252" spans="4:6" x14ac:dyDescent="0.25">
      <c r="D252">
        <f t="shared" si="3"/>
        <v>250</v>
      </c>
      <c r="E252" t="e">
        <f ca="1">RANDOM($B$7)</f>
        <v>#NAME?</v>
      </c>
      <c r="F252" t="e">
        <f ca="1">WEIBULL_INV(E252,$B$4,$B$3)</f>
        <v>#NAME?</v>
      </c>
    </row>
    <row r="253" spans="4:6" x14ac:dyDescent="0.25">
      <c r="D253">
        <f t="shared" si="3"/>
        <v>251</v>
      </c>
      <c r="E253" t="e">
        <f ca="1">RANDOM($B$7)</f>
        <v>#NAME?</v>
      </c>
      <c r="F253" t="e">
        <f ca="1">WEIBULL_INV(E253,$B$4,$B$3)</f>
        <v>#NAME?</v>
      </c>
    </row>
    <row r="254" spans="4:6" x14ac:dyDescent="0.25">
      <c r="D254">
        <f t="shared" si="3"/>
        <v>252</v>
      </c>
      <c r="E254" t="e">
        <f ca="1">RANDOM($B$7)</f>
        <v>#NAME?</v>
      </c>
      <c r="F254" t="e">
        <f ca="1">WEIBULL_INV(E254,$B$4,$B$3)</f>
        <v>#NAME?</v>
      </c>
    </row>
    <row r="255" spans="4:6" x14ac:dyDescent="0.25">
      <c r="D255">
        <f t="shared" si="3"/>
        <v>253</v>
      </c>
      <c r="E255" t="e">
        <f ca="1">RANDOM($B$7)</f>
        <v>#NAME?</v>
      </c>
      <c r="F255" t="e">
        <f ca="1">WEIBULL_INV(E255,$B$4,$B$3)</f>
        <v>#NAME?</v>
      </c>
    </row>
    <row r="256" spans="4:6" x14ac:dyDescent="0.25">
      <c r="D256">
        <f t="shared" si="3"/>
        <v>254</v>
      </c>
      <c r="E256" t="e">
        <f ca="1">RANDOM($B$7)</f>
        <v>#NAME?</v>
      </c>
      <c r="F256" t="e">
        <f ca="1">WEIBULL_INV(E256,$B$4,$B$3)</f>
        <v>#NAME?</v>
      </c>
    </row>
    <row r="257" spans="4:6" x14ac:dyDescent="0.25">
      <c r="D257">
        <f t="shared" si="3"/>
        <v>255</v>
      </c>
      <c r="E257" t="e">
        <f ca="1">RANDOM($B$7)</f>
        <v>#NAME?</v>
      </c>
      <c r="F257" t="e">
        <f ca="1">WEIBULL_INV(E257,$B$4,$B$3)</f>
        <v>#NAME?</v>
      </c>
    </row>
    <row r="258" spans="4:6" x14ac:dyDescent="0.25">
      <c r="D258">
        <f t="shared" si="3"/>
        <v>256</v>
      </c>
      <c r="E258" t="e">
        <f ca="1">RANDOM($B$7)</f>
        <v>#NAME?</v>
      </c>
      <c r="F258" t="e">
        <f ca="1">WEIBULL_INV(E258,$B$4,$B$3)</f>
        <v>#NAME?</v>
      </c>
    </row>
    <row r="259" spans="4:6" x14ac:dyDescent="0.25">
      <c r="D259">
        <f t="shared" si="3"/>
        <v>257</v>
      </c>
      <c r="E259" t="e">
        <f ca="1">RANDOM($B$7)</f>
        <v>#NAME?</v>
      </c>
      <c r="F259" t="e">
        <f ca="1">WEIBULL_INV(E259,$B$4,$B$3)</f>
        <v>#NAME?</v>
      </c>
    </row>
    <row r="260" spans="4:6" x14ac:dyDescent="0.25">
      <c r="D260">
        <f t="shared" si="3"/>
        <v>258</v>
      </c>
      <c r="E260" t="e">
        <f ca="1">RANDOM($B$7)</f>
        <v>#NAME?</v>
      </c>
      <c r="F260" t="e">
        <f ca="1">WEIBULL_INV(E260,$B$4,$B$3)</f>
        <v>#NAME?</v>
      </c>
    </row>
    <row r="261" spans="4:6" x14ac:dyDescent="0.25">
      <c r="D261">
        <f t="shared" ref="D261:D324" si="4">D260+1</f>
        <v>259</v>
      </c>
      <c r="E261" t="e">
        <f ca="1">RANDOM($B$7)</f>
        <v>#NAME?</v>
      </c>
      <c r="F261" t="e">
        <f ca="1">WEIBULL_INV(E261,$B$4,$B$3)</f>
        <v>#NAME?</v>
      </c>
    </row>
    <row r="262" spans="4:6" x14ac:dyDescent="0.25">
      <c r="D262">
        <f t="shared" si="4"/>
        <v>260</v>
      </c>
      <c r="E262" t="e">
        <f ca="1">RANDOM($B$7)</f>
        <v>#NAME?</v>
      </c>
      <c r="F262" t="e">
        <f ca="1">WEIBULL_INV(E262,$B$4,$B$3)</f>
        <v>#NAME?</v>
      </c>
    </row>
    <row r="263" spans="4:6" x14ac:dyDescent="0.25">
      <c r="D263">
        <f t="shared" si="4"/>
        <v>261</v>
      </c>
      <c r="E263" t="e">
        <f ca="1">RANDOM($B$7)</f>
        <v>#NAME?</v>
      </c>
      <c r="F263" t="e">
        <f ca="1">WEIBULL_INV(E263,$B$4,$B$3)</f>
        <v>#NAME?</v>
      </c>
    </row>
    <row r="264" spans="4:6" x14ac:dyDescent="0.25">
      <c r="D264">
        <f t="shared" si="4"/>
        <v>262</v>
      </c>
      <c r="E264" t="e">
        <f ca="1">RANDOM($B$7)</f>
        <v>#NAME?</v>
      </c>
      <c r="F264" t="e">
        <f ca="1">WEIBULL_INV(E264,$B$4,$B$3)</f>
        <v>#NAME?</v>
      </c>
    </row>
    <row r="265" spans="4:6" x14ac:dyDescent="0.25">
      <c r="D265">
        <f t="shared" si="4"/>
        <v>263</v>
      </c>
      <c r="E265" t="e">
        <f ca="1">RANDOM($B$7)</f>
        <v>#NAME?</v>
      </c>
      <c r="F265" t="e">
        <f ca="1">WEIBULL_INV(E265,$B$4,$B$3)</f>
        <v>#NAME?</v>
      </c>
    </row>
    <row r="266" spans="4:6" x14ac:dyDescent="0.25">
      <c r="D266">
        <f t="shared" si="4"/>
        <v>264</v>
      </c>
      <c r="E266" t="e">
        <f ca="1">RANDOM($B$7)</f>
        <v>#NAME?</v>
      </c>
      <c r="F266" t="e">
        <f ca="1">WEIBULL_INV(E266,$B$4,$B$3)</f>
        <v>#NAME?</v>
      </c>
    </row>
    <row r="267" spans="4:6" x14ac:dyDescent="0.25">
      <c r="D267">
        <f t="shared" si="4"/>
        <v>265</v>
      </c>
      <c r="E267" t="e">
        <f ca="1">RANDOM($B$7)</f>
        <v>#NAME?</v>
      </c>
      <c r="F267" t="e">
        <f ca="1">WEIBULL_INV(E267,$B$4,$B$3)</f>
        <v>#NAME?</v>
      </c>
    </row>
    <row r="268" spans="4:6" x14ac:dyDescent="0.25">
      <c r="D268">
        <f t="shared" si="4"/>
        <v>266</v>
      </c>
      <c r="E268" t="e">
        <f ca="1">RANDOM($B$7)</f>
        <v>#NAME?</v>
      </c>
      <c r="F268" t="e">
        <f ca="1">WEIBULL_INV(E268,$B$4,$B$3)</f>
        <v>#NAME?</v>
      </c>
    </row>
    <row r="269" spans="4:6" x14ac:dyDescent="0.25">
      <c r="D269">
        <f t="shared" si="4"/>
        <v>267</v>
      </c>
      <c r="E269" t="e">
        <f ca="1">RANDOM($B$7)</f>
        <v>#NAME?</v>
      </c>
      <c r="F269" t="e">
        <f ca="1">WEIBULL_INV(E269,$B$4,$B$3)</f>
        <v>#NAME?</v>
      </c>
    </row>
    <row r="270" spans="4:6" x14ac:dyDescent="0.25">
      <c r="D270">
        <f t="shared" si="4"/>
        <v>268</v>
      </c>
      <c r="E270" t="e">
        <f ca="1">RANDOM($B$7)</f>
        <v>#NAME?</v>
      </c>
      <c r="F270" t="e">
        <f ca="1">WEIBULL_INV(E270,$B$4,$B$3)</f>
        <v>#NAME?</v>
      </c>
    </row>
    <row r="271" spans="4:6" x14ac:dyDescent="0.25">
      <c r="D271">
        <f t="shared" si="4"/>
        <v>269</v>
      </c>
      <c r="E271" t="e">
        <f ca="1">RANDOM($B$7)</f>
        <v>#NAME?</v>
      </c>
      <c r="F271" t="e">
        <f ca="1">WEIBULL_INV(E271,$B$4,$B$3)</f>
        <v>#NAME?</v>
      </c>
    </row>
    <row r="272" spans="4:6" x14ac:dyDescent="0.25">
      <c r="D272">
        <f t="shared" si="4"/>
        <v>270</v>
      </c>
      <c r="E272" t="e">
        <f ca="1">RANDOM($B$7)</f>
        <v>#NAME?</v>
      </c>
      <c r="F272" t="e">
        <f ca="1">WEIBULL_INV(E272,$B$4,$B$3)</f>
        <v>#NAME?</v>
      </c>
    </row>
    <row r="273" spans="4:6" x14ac:dyDescent="0.25">
      <c r="D273">
        <f t="shared" si="4"/>
        <v>271</v>
      </c>
      <c r="E273" t="e">
        <f ca="1">RANDOM($B$7)</f>
        <v>#NAME?</v>
      </c>
      <c r="F273" t="e">
        <f ca="1">WEIBULL_INV(E273,$B$4,$B$3)</f>
        <v>#NAME?</v>
      </c>
    </row>
    <row r="274" spans="4:6" x14ac:dyDescent="0.25">
      <c r="D274">
        <f t="shared" si="4"/>
        <v>272</v>
      </c>
      <c r="E274" t="e">
        <f ca="1">RANDOM($B$7)</f>
        <v>#NAME?</v>
      </c>
      <c r="F274" t="e">
        <f ca="1">WEIBULL_INV(E274,$B$4,$B$3)</f>
        <v>#NAME?</v>
      </c>
    </row>
    <row r="275" spans="4:6" x14ac:dyDescent="0.25">
      <c r="D275">
        <f t="shared" si="4"/>
        <v>273</v>
      </c>
      <c r="E275" t="e">
        <f ca="1">RANDOM($B$7)</f>
        <v>#NAME?</v>
      </c>
      <c r="F275" t="e">
        <f ca="1">WEIBULL_INV(E275,$B$4,$B$3)</f>
        <v>#NAME?</v>
      </c>
    </row>
    <row r="276" spans="4:6" x14ac:dyDescent="0.25">
      <c r="D276">
        <f t="shared" si="4"/>
        <v>274</v>
      </c>
      <c r="E276" t="e">
        <f ca="1">RANDOM($B$7)</f>
        <v>#NAME?</v>
      </c>
      <c r="F276" t="e">
        <f ca="1">WEIBULL_INV(E276,$B$4,$B$3)</f>
        <v>#NAME?</v>
      </c>
    </row>
    <row r="277" spans="4:6" x14ac:dyDescent="0.25">
      <c r="D277">
        <f t="shared" si="4"/>
        <v>275</v>
      </c>
      <c r="E277" t="e">
        <f ca="1">RANDOM($B$7)</f>
        <v>#NAME?</v>
      </c>
      <c r="F277" t="e">
        <f ca="1">WEIBULL_INV(E277,$B$4,$B$3)</f>
        <v>#NAME?</v>
      </c>
    </row>
    <row r="278" spans="4:6" x14ac:dyDescent="0.25">
      <c r="D278">
        <f t="shared" si="4"/>
        <v>276</v>
      </c>
      <c r="E278" t="e">
        <f ca="1">RANDOM($B$7)</f>
        <v>#NAME?</v>
      </c>
      <c r="F278" t="e">
        <f ca="1">WEIBULL_INV(E278,$B$4,$B$3)</f>
        <v>#NAME?</v>
      </c>
    </row>
    <row r="279" spans="4:6" x14ac:dyDescent="0.25">
      <c r="D279">
        <f t="shared" si="4"/>
        <v>277</v>
      </c>
      <c r="E279" t="e">
        <f ca="1">RANDOM($B$7)</f>
        <v>#NAME?</v>
      </c>
      <c r="F279" t="e">
        <f ca="1">WEIBULL_INV(E279,$B$4,$B$3)</f>
        <v>#NAME?</v>
      </c>
    </row>
    <row r="280" spans="4:6" x14ac:dyDescent="0.25">
      <c r="D280">
        <f t="shared" si="4"/>
        <v>278</v>
      </c>
      <c r="E280" t="e">
        <f ca="1">RANDOM($B$7)</f>
        <v>#NAME?</v>
      </c>
      <c r="F280" t="e">
        <f ca="1">WEIBULL_INV(E280,$B$4,$B$3)</f>
        <v>#NAME?</v>
      </c>
    </row>
    <row r="281" spans="4:6" x14ac:dyDescent="0.25">
      <c r="D281">
        <f t="shared" si="4"/>
        <v>279</v>
      </c>
      <c r="E281" t="e">
        <f ca="1">RANDOM($B$7)</f>
        <v>#NAME?</v>
      </c>
      <c r="F281" t="e">
        <f ca="1">WEIBULL_INV(E281,$B$4,$B$3)</f>
        <v>#NAME?</v>
      </c>
    </row>
    <row r="282" spans="4:6" x14ac:dyDescent="0.25">
      <c r="D282">
        <f t="shared" si="4"/>
        <v>280</v>
      </c>
      <c r="E282" t="e">
        <f ca="1">RANDOM($B$7)</f>
        <v>#NAME?</v>
      </c>
      <c r="F282" t="e">
        <f ca="1">WEIBULL_INV(E282,$B$4,$B$3)</f>
        <v>#NAME?</v>
      </c>
    </row>
    <row r="283" spans="4:6" x14ac:dyDescent="0.25">
      <c r="D283">
        <f t="shared" si="4"/>
        <v>281</v>
      </c>
      <c r="E283" t="e">
        <f ca="1">RANDOM($B$7)</f>
        <v>#NAME?</v>
      </c>
      <c r="F283" t="e">
        <f ca="1">WEIBULL_INV(E283,$B$4,$B$3)</f>
        <v>#NAME?</v>
      </c>
    </row>
    <row r="284" spans="4:6" x14ac:dyDescent="0.25">
      <c r="D284">
        <f t="shared" si="4"/>
        <v>282</v>
      </c>
      <c r="E284" t="e">
        <f ca="1">RANDOM($B$7)</f>
        <v>#NAME?</v>
      </c>
      <c r="F284" t="e">
        <f ca="1">WEIBULL_INV(E284,$B$4,$B$3)</f>
        <v>#NAME?</v>
      </c>
    </row>
    <row r="285" spans="4:6" x14ac:dyDescent="0.25">
      <c r="D285">
        <f t="shared" si="4"/>
        <v>283</v>
      </c>
      <c r="E285" t="e">
        <f ca="1">RANDOM($B$7)</f>
        <v>#NAME?</v>
      </c>
      <c r="F285" t="e">
        <f ca="1">WEIBULL_INV(E285,$B$4,$B$3)</f>
        <v>#NAME?</v>
      </c>
    </row>
    <row r="286" spans="4:6" x14ac:dyDescent="0.25">
      <c r="D286">
        <f t="shared" si="4"/>
        <v>284</v>
      </c>
      <c r="E286" t="e">
        <f ca="1">RANDOM($B$7)</f>
        <v>#NAME?</v>
      </c>
      <c r="F286" t="e">
        <f ca="1">WEIBULL_INV(E286,$B$4,$B$3)</f>
        <v>#NAME?</v>
      </c>
    </row>
    <row r="287" spans="4:6" x14ac:dyDescent="0.25">
      <c r="D287">
        <f t="shared" si="4"/>
        <v>285</v>
      </c>
      <c r="E287" t="e">
        <f ca="1">RANDOM($B$7)</f>
        <v>#NAME?</v>
      </c>
      <c r="F287" t="e">
        <f ca="1">WEIBULL_INV(E287,$B$4,$B$3)</f>
        <v>#NAME?</v>
      </c>
    </row>
    <row r="288" spans="4:6" x14ac:dyDescent="0.25">
      <c r="D288">
        <f t="shared" si="4"/>
        <v>286</v>
      </c>
      <c r="E288" t="e">
        <f ca="1">RANDOM($B$7)</f>
        <v>#NAME?</v>
      </c>
      <c r="F288" t="e">
        <f ca="1">WEIBULL_INV(E288,$B$4,$B$3)</f>
        <v>#NAME?</v>
      </c>
    </row>
    <row r="289" spans="4:6" x14ac:dyDescent="0.25">
      <c r="D289">
        <f t="shared" si="4"/>
        <v>287</v>
      </c>
      <c r="E289" t="e">
        <f ca="1">RANDOM($B$7)</f>
        <v>#NAME?</v>
      </c>
      <c r="F289" t="e">
        <f ca="1">WEIBULL_INV(E289,$B$4,$B$3)</f>
        <v>#NAME?</v>
      </c>
    </row>
    <row r="290" spans="4:6" x14ac:dyDescent="0.25">
      <c r="D290">
        <f t="shared" si="4"/>
        <v>288</v>
      </c>
      <c r="E290" t="e">
        <f ca="1">RANDOM($B$7)</f>
        <v>#NAME?</v>
      </c>
      <c r="F290" t="e">
        <f ca="1">WEIBULL_INV(E290,$B$4,$B$3)</f>
        <v>#NAME?</v>
      </c>
    </row>
    <row r="291" spans="4:6" x14ac:dyDescent="0.25">
      <c r="D291">
        <f t="shared" si="4"/>
        <v>289</v>
      </c>
      <c r="E291" t="e">
        <f ca="1">RANDOM($B$7)</f>
        <v>#NAME?</v>
      </c>
      <c r="F291" t="e">
        <f ca="1">WEIBULL_INV(E291,$B$4,$B$3)</f>
        <v>#NAME?</v>
      </c>
    </row>
    <row r="292" spans="4:6" x14ac:dyDescent="0.25">
      <c r="D292">
        <f t="shared" si="4"/>
        <v>290</v>
      </c>
      <c r="E292" t="e">
        <f ca="1">RANDOM($B$7)</f>
        <v>#NAME?</v>
      </c>
      <c r="F292" t="e">
        <f ca="1">WEIBULL_INV(E292,$B$4,$B$3)</f>
        <v>#NAME?</v>
      </c>
    </row>
    <row r="293" spans="4:6" x14ac:dyDescent="0.25">
      <c r="D293">
        <f t="shared" si="4"/>
        <v>291</v>
      </c>
      <c r="E293" t="e">
        <f ca="1">RANDOM($B$7)</f>
        <v>#NAME?</v>
      </c>
      <c r="F293" t="e">
        <f ca="1">WEIBULL_INV(E293,$B$4,$B$3)</f>
        <v>#NAME?</v>
      </c>
    </row>
    <row r="294" spans="4:6" x14ac:dyDescent="0.25">
      <c r="D294">
        <f t="shared" si="4"/>
        <v>292</v>
      </c>
      <c r="E294" t="e">
        <f ca="1">RANDOM($B$7)</f>
        <v>#NAME?</v>
      </c>
      <c r="F294" t="e">
        <f ca="1">WEIBULL_INV(E294,$B$4,$B$3)</f>
        <v>#NAME?</v>
      </c>
    </row>
    <row r="295" spans="4:6" x14ac:dyDescent="0.25">
      <c r="D295">
        <f t="shared" si="4"/>
        <v>293</v>
      </c>
      <c r="E295" t="e">
        <f ca="1">RANDOM($B$7)</f>
        <v>#NAME?</v>
      </c>
      <c r="F295" t="e">
        <f ca="1">WEIBULL_INV(E295,$B$4,$B$3)</f>
        <v>#NAME?</v>
      </c>
    </row>
    <row r="296" spans="4:6" x14ac:dyDescent="0.25">
      <c r="D296">
        <f t="shared" si="4"/>
        <v>294</v>
      </c>
      <c r="E296" t="e">
        <f ca="1">RANDOM($B$7)</f>
        <v>#NAME?</v>
      </c>
      <c r="F296" t="e">
        <f ca="1">WEIBULL_INV(E296,$B$4,$B$3)</f>
        <v>#NAME?</v>
      </c>
    </row>
    <row r="297" spans="4:6" x14ac:dyDescent="0.25">
      <c r="D297">
        <f t="shared" si="4"/>
        <v>295</v>
      </c>
      <c r="E297" t="e">
        <f ca="1">RANDOM($B$7)</f>
        <v>#NAME?</v>
      </c>
      <c r="F297" t="e">
        <f ca="1">WEIBULL_INV(E297,$B$4,$B$3)</f>
        <v>#NAME?</v>
      </c>
    </row>
    <row r="298" spans="4:6" x14ac:dyDescent="0.25">
      <c r="D298">
        <f t="shared" si="4"/>
        <v>296</v>
      </c>
      <c r="E298" t="e">
        <f ca="1">RANDOM($B$7)</f>
        <v>#NAME?</v>
      </c>
      <c r="F298" t="e">
        <f ca="1">WEIBULL_INV(E298,$B$4,$B$3)</f>
        <v>#NAME?</v>
      </c>
    </row>
    <row r="299" spans="4:6" x14ac:dyDescent="0.25">
      <c r="D299">
        <f t="shared" si="4"/>
        <v>297</v>
      </c>
      <c r="E299" t="e">
        <f ca="1">RANDOM($B$7)</f>
        <v>#NAME?</v>
      </c>
      <c r="F299" t="e">
        <f ca="1">WEIBULL_INV(E299,$B$4,$B$3)</f>
        <v>#NAME?</v>
      </c>
    </row>
    <row r="300" spans="4:6" x14ac:dyDescent="0.25">
      <c r="D300">
        <f t="shared" si="4"/>
        <v>298</v>
      </c>
      <c r="E300" t="e">
        <f ca="1">RANDOM($B$7)</f>
        <v>#NAME?</v>
      </c>
      <c r="F300" t="e">
        <f ca="1">WEIBULL_INV(E300,$B$4,$B$3)</f>
        <v>#NAME?</v>
      </c>
    </row>
    <row r="301" spans="4:6" x14ac:dyDescent="0.25">
      <c r="D301">
        <f t="shared" si="4"/>
        <v>299</v>
      </c>
      <c r="E301" t="e">
        <f ca="1">RANDOM($B$7)</f>
        <v>#NAME?</v>
      </c>
      <c r="F301" t="e">
        <f ca="1">WEIBULL_INV(E301,$B$4,$B$3)</f>
        <v>#NAME?</v>
      </c>
    </row>
    <row r="302" spans="4:6" x14ac:dyDescent="0.25">
      <c r="D302">
        <f t="shared" si="4"/>
        <v>300</v>
      </c>
      <c r="E302" t="e">
        <f ca="1">RANDOM($B$7)</f>
        <v>#NAME?</v>
      </c>
      <c r="F302" t="e">
        <f ca="1">WEIBULL_INV(E302,$B$4,$B$3)</f>
        <v>#NAME?</v>
      </c>
    </row>
    <row r="303" spans="4:6" x14ac:dyDescent="0.25">
      <c r="D303">
        <f t="shared" si="4"/>
        <v>301</v>
      </c>
      <c r="E303" t="e">
        <f ca="1">RANDOM($B$7)</f>
        <v>#NAME?</v>
      </c>
      <c r="F303" t="e">
        <f ca="1">WEIBULL_INV(E303,$B$4,$B$3)</f>
        <v>#NAME?</v>
      </c>
    </row>
    <row r="304" spans="4:6" x14ac:dyDescent="0.25">
      <c r="D304">
        <f t="shared" si="4"/>
        <v>302</v>
      </c>
      <c r="E304" t="e">
        <f ca="1">RANDOM($B$7)</f>
        <v>#NAME?</v>
      </c>
      <c r="F304" t="e">
        <f ca="1">WEIBULL_INV(E304,$B$4,$B$3)</f>
        <v>#NAME?</v>
      </c>
    </row>
    <row r="305" spans="4:6" x14ac:dyDescent="0.25">
      <c r="D305">
        <f t="shared" si="4"/>
        <v>303</v>
      </c>
      <c r="E305" t="e">
        <f ca="1">RANDOM($B$7)</f>
        <v>#NAME?</v>
      </c>
      <c r="F305" t="e">
        <f ca="1">WEIBULL_INV(E305,$B$4,$B$3)</f>
        <v>#NAME?</v>
      </c>
    </row>
    <row r="306" spans="4:6" x14ac:dyDescent="0.25">
      <c r="D306">
        <f t="shared" si="4"/>
        <v>304</v>
      </c>
      <c r="E306" t="e">
        <f ca="1">RANDOM($B$7)</f>
        <v>#NAME?</v>
      </c>
      <c r="F306" t="e">
        <f ca="1">WEIBULL_INV(E306,$B$4,$B$3)</f>
        <v>#NAME?</v>
      </c>
    </row>
    <row r="307" spans="4:6" x14ac:dyDescent="0.25">
      <c r="D307">
        <f t="shared" si="4"/>
        <v>305</v>
      </c>
      <c r="E307" t="e">
        <f ca="1">RANDOM($B$7)</f>
        <v>#NAME?</v>
      </c>
      <c r="F307" t="e">
        <f ca="1">WEIBULL_INV(E307,$B$4,$B$3)</f>
        <v>#NAME?</v>
      </c>
    </row>
    <row r="308" spans="4:6" x14ac:dyDescent="0.25">
      <c r="D308">
        <f t="shared" si="4"/>
        <v>306</v>
      </c>
      <c r="E308" t="e">
        <f ca="1">RANDOM($B$7)</f>
        <v>#NAME?</v>
      </c>
      <c r="F308" t="e">
        <f ca="1">WEIBULL_INV(E308,$B$4,$B$3)</f>
        <v>#NAME?</v>
      </c>
    </row>
    <row r="309" spans="4:6" x14ac:dyDescent="0.25">
      <c r="D309">
        <f t="shared" si="4"/>
        <v>307</v>
      </c>
      <c r="E309" t="e">
        <f ca="1">RANDOM($B$7)</f>
        <v>#NAME?</v>
      </c>
      <c r="F309" t="e">
        <f ca="1">WEIBULL_INV(E309,$B$4,$B$3)</f>
        <v>#NAME?</v>
      </c>
    </row>
    <row r="310" spans="4:6" x14ac:dyDescent="0.25">
      <c r="D310">
        <f t="shared" si="4"/>
        <v>308</v>
      </c>
      <c r="E310" t="e">
        <f ca="1">RANDOM($B$7)</f>
        <v>#NAME?</v>
      </c>
      <c r="F310" t="e">
        <f ca="1">WEIBULL_INV(E310,$B$4,$B$3)</f>
        <v>#NAME?</v>
      </c>
    </row>
    <row r="311" spans="4:6" x14ac:dyDescent="0.25">
      <c r="D311">
        <f t="shared" si="4"/>
        <v>309</v>
      </c>
      <c r="E311" t="e">
        <f ca="1">RANDOM($B$7)</f>
        <v>#NAME?</v>
      </c>
      <c r="F311" t="e">
        <f ca="1">WEIBULL_INV(E311,$B$4,$B$3)</f>
        <v>#NAME?</v>
      </c>
    </row>
    <row r="312" spans="4:6" x14ac:dyDescent="0.25">
      <c r="D312">
        <f t="shared" si="4"/>
        <v>310</v>
      </c>
      <c r="E312" t="e">
        <f ca="1">RANDOM($B$7)</f>
        <v>#NAME?</v>
      </c>
      <c r="F312" t="e">
        <f ca="1">WEIBULL_INV(E312,$B$4,$B$3)</f>
        <v>#NAME?</v>
      </c>
    </row>
    <row r="313" spans="4:6" x14ac:dyDescent="0.25">
      <c r="D313">
        <f t="shared" si="4"/>
        <v>311</v>
      </c>
      <c r="E313" t="e">
        <f ca="1">RANDOM($B$7)</f>
        <v>#NAME?</v>
      </c>
      <c r="F313" t="e">
        <f ca="1">WEIBULL_INV(E313,$B$4,$B$3)</f>
        <v>#NAME?</v>
      </c>
    </row>
    <row r="314" spans="4:6" x14ac:dyDescent="0.25">
      <c r="D314">
        <f t="shared" si="4"/>
        <v>312</v>
      </c>
      <c r="E314" t="e">
        <f ca="1">RANDOM($B$7)</f>
        <v>#NAME?</v>
      </c>
      <c r="F314" t="e">
        <f ca="1">WEIBULL_INV(E314,$B$4,$B$3)</f>
        <v>#NAME?</v>
      </c>
    </row>
    <row r="315" spans="4:6" x14ac:dyDescent="0.25">
      <c r="D315">
        <f t="shared" si="4"/>
        <v>313</v>
      </c>
      <c r="E315" t="e">
        <f ca="1">RANDOM($B$7)</f>
        <v>#NAME?</v>
      </c>
      <c r="F315" t="e">
        <f ca="1">WEIBULL_INV(E315,$B$4,$B$3)</f>
        <v>#NAME?</v>
      </c>
    </row>
    <row r="316" spans="4:6" x14ac:dyDescent="0.25">
      <c r="D316">
        <f t="shared" si="4"/>
        <v>314</v>
      </c>
      <c r="E316" t="e">
        <f ca="1">RANDOM($B$7)</f>
        <v>#NAME?</v>
      </c>
      <c r="F316" t="e">
        <f ca="1">WEIBULL_INV(E316,$B$4,$B$3)</f>
        <v>#NAME?</v>
      </c>
    </row>
    <row r="317" spans="4:6" x14ac:dyDescent="0.25">
      <c r="D317">
        <f t="shared" si="4"/>
        <v>315</v>
      </c>
      <c r="E317" t="e">
        <f ca="1">RANDOM($B$7)</f>
        <v>#NAME?</v>
      </c>
      <c r="F317" t="e">
        <f ca="1">WEIBULL_INV(E317,$B$4,$B$3)</f>
        <v>#NAME?</v>
      </c>
    </row>
    <row r="318" spans="4:6" x14ac:dyDescent="0.25">
      <c r="D318">
        <f t="shared" si="4"/>
        <v>316</v>
      </c>
      <c r="E318" t="e">
        <f ca="1">RANDOM($B$7)</f>
        <v>#NAME?</v>
      </c>
      <c r="F318" t="e">
        <f ca="1">WEIBULL_INV(E318,$B$4,$B$3)</f>
        <v>#NAME?</v>
      </c>
    </row>
    <row r="319" spans="4:6" x14ac:dyDescent="0.25">
      <c r="D319">
        <f t="shared" si="4"/>
        <v>317</v>
      </c>
      <c r="E319" t="e">
        <f ca="1">RANDOM($B$7)</f>
        <v>#NAME?</v>
      </c>
      <c r="F319" t="e">
        <f ca="1">WEIBULL_INV(E319,$B$4,$B$3)</f>
        <v>#NAME?</v>
      </c>
    </row>
    <row r="320" spans="4:6" x14ac:dyDescent="0.25">
      <c r="D320">
        <f t="shared" si="4"/>
        <v>318</v>
      </c>
      <c r="E320" t="e">
        <f ca="1">RANDOM($B$7)</f>
        <v>#NAME?</v>
      </c>
      <c r="F320" t="e">
        <f ca="1">WEIBULL_INV(E320,$B$4,$B$3)</f>
        <v>#NAME?</v>
      </c>
    </row>
    <row r="321" spans="4:6" x14ac:dyDescent="0.25">
      <c r="D321">
        <f t="shared" si="4"/>
        <v>319</v>
      </c>
      <c r="E321" t="e">
        <f ca="1">RANDOM($B$7)</f>
        <v>#NAME?</v>
      </c>
      <c r="F321" t="e">
        <f ca="1">WEIBULL_INV(E321,$B$4,$B$3)</f>
        <v>#NAME?</v>
      </c>
    </row>
    <row r="322" spans="4:6" x14ac:dyDescent="0.25">
      <c r="D322">
        <f t="shared" si="4"/>
        <v>320</v>
      </c>
      <c r="E322" t="e">
        <f ca="1">RANDOM($B$7)</f>
        <v>#NAME?</v>
      </c>
      <c r="F322" t="e">
        <f ca="1">WEIBULL_INV(E322,$B$4,$B$3)</f>
        <v>#NAME?</v>
      </c>
    </row>
    <row r="323" spans="4:6" x14ac:dyDescent="0.25">
      <c r="D323">
        <f t="shared" si="4"/>
        <v>321</v>
      </c>
      <c r="E323" t="e">
        <f ca="1">RANDOM($B$7)</f>
        <v>#NAME?</v>
      </c>
      <c r="F323" t="e">
        <f ca="1">WEIBULL_INV(E323,$B$4,$B$3)</f>
        <v>#NAME?</v>
      </c>
    </row>
    <row r="324" spans="4:6" x14ac:dyDescent="0.25">
      <c r="D324">
        <f t="shared" si="4"/>
        <v>322</v>
      </c>
      <c r="E324" t="e">
        <f ca="1">RANDOM($B$7)</f>
        <v>#NAME?</v>
      </c>
      <c r="F324" t="e">
        <f ca="1">WEIBULL_INV(E324,$B$4,$B$3)</f>
        <v>#NAME?</v>
      </c>
    </row>
    <row r="325" spans="4:6" x14ac:dyDescent="0.25">
      <c r="D325">
        <f t="shared" ref="D325:D388" si="5">D324+1</f>
        <v>323</v>
      </c>
      <c r="E325" t="e">
        <f ca="1">RANDOM($B$7)</f>
        <v>#NAME?</v>
      </c>
      <c r="F325" t="e">
        <f ca="1">WEIBULL_INV(E325,$B$4,$B$3)</f>
        <v>#NAME?</v>
      </c>
    </row>
    <row r="326" spans="4:6" x14ac:dyDescent="0.25">
      <c r="D326">
        <f t="shared" si="5"/>
        <v>324</v>
      </c>
      <c r="E326" t="e">
        <f ca="1">RANDOM($B$7)</f>
        <v>#NAME?</v>
      </c>
      <c r="F326" t="e">
        <f ca="1">WEIBULL_INV(E326,$B$4,$B$3)</f>
        <v>#NAME?</v>
      </c>
    </row>
    <row r="327" spans="4:6" x14ac:dyDescent="0.25">
      <c r="D327">
        <f t="shared" si="5"/>
        <v>325</v>
      </c>
      <c r="E327" t="e">
        <f ca="1">RANDOM($B$7)</f>
        <v>#NAME?</v>
      </c>
      <c r="F327" t="e">
        <f ca="1">WEIBULL_INV(E327,$B$4,$B$3)</f>
        <v>#NAME?</v>
      </c>
    </row>
    <row r="328" spans="4:6" x14ac:dyDescent="0.25">
      <c r="D328">
        <f t="shared" si="5"/>
        <v>326</v>
      </c>
      <c r="E328" t="e">
        <f ca="1">RANDOM($B$7)</f>
        <v>#NAME?</v>
      </c>
      <c r="F328" t="e">
        <f ca="1">WEIBULL_INV(E328,$B$4,$B$3)</f>
        <v>#NAME?</v>
      </c>
    </row>
    <row r="329" spans="4:6" x14ac:dyDescent="0.25">
      <c r="D329">
        <f t="shared" si="5"/>
        <v>327</v>
      </c>
      <c r="E329" t="e">
        <f ca="1">RANDOM($B$7)</f>
        <v>#NAME?</v>
      </c>
      <c r="F329" t="e">
        <f ca="1">WEIBULL_INV(E329,$B$4,$B$3)</f>
        <v>#NAME?</v>
      </c>
    </row>
    <row r="330" spans="4:6" x14ac:dyDescent="0.25">
      <c r="D330">
        <f t="shared" si="5"/>
        <v>328</v>
      </c>
      <c r="E330" t="e">
        <f ca="1">RANDOM($B$7)</f>
        <v>#NAME?</v>
      </c>
      <c r="F330" t="e">
        <f ca="1">WEIBULL_INV(E330,$B$4,$B$3)</f>
        <v>#NAME?</v>
      </c>
    </row>
    <row r="331" spans="4:6" x14ac:dyDescent="0.25">
      <c r="D331">
        <f t="shared" si="5"/>
        <v>329</v>
      </c>
      <c r="E331" t="e">
        <f ca="1">RANDOM($B$7)</f>
        <v>#NAME?</v>
      </c>
      <c r="F331" t="e">
        <f ca="1">WEIBULL_INV(E331,$B$4,$B$3)</f>
        <v>#NAME?</v>
      </c>
    </row>
    <row r="332" spans="4:6" x14ac:dyDescent="0.25">
      <c r="D332">
        <f t="shared" si="5"/>
        <v>330</v>
      </c>
      <c r="E332" t="e">
        <f ca="1">RANDOM($B$7)</f>
        <v>#NAME?</v>
      </c>
      <c r="F332" t="e">
        <f ca="1">WEIBULL_INV(E332,$B$4,$B$3)</f>
        <v>#NAME?</v>
      </c>
    </row>
    <row r="333" spans="4:6" x14ac:dyDescent="0.25">
      <c r="D333">
        <f t="shared" si="5"/>
        <v>331</v>
      </c>
      <c r="E333" t="e">
        <f ca="1">RANDOM($B$7)</f>
        <v>#NAME?</v>
      </c>
      <c r="F333" t="e">
        <f ca="1">WEIBULL_INV(E333,$B$4,$B$3)</f>
        <v>#NAME?</v>
      </c>
    </row>
    <row r="334" spans="4:6" x14ac:dyDescent="0.25">
      <c r="D334">
        <f t="shared" si="5"/>
        <v>332</v>
      </c>
      <c r="E334" t="e">
        <f ca="1">RANDOM($B$7)</f>
        <v>#NAME?</v>
      </c>
      <c r="F334" t="e">
        <f ca="1">WEIBULL_INV(E334,$B$4,$B$3)</f>
        <v>#NAME?</v>
      </c>
    </row>
    <row r="335" spans="4:6" x14ac:dyDescent="0.25">
      <c r="D335">
        <f t="shared" si="5"/>
        <v>333</v>
      </c>
      <c r="E335" t="e">
        <f ca="1">RANDOM($B$7)</f>
        <v>#NAME?</v>
      </c>
      <c r="F335" t="e">
        <f ca="1">WEIBULL_INV(E335,$B$4,$B$3)</f>
        <v>#NAME?</v>
      </c>
    </row>
    <row r="336" spans="4:6" x14ac:dyDescent="0.25">
      <c r="D336">
        <f t="shared" si="5"/>
        <v>334</v>
      </c>
      <c r="E336" t="e">
        <f ca="1">RANDOM($B$7)</f>
        <v>#NAME?</v>
      </c>
      <c r="F336" t="e">
        <f ca="1">WEIBULL_INV(E336,$B$4,$B$3)</f>
        <v>#NAME?</v>
      </c>
    </row>
    <row r="337" spans="4:6" x14ac:dyDescent="0.25">
      <c r="D337">
        <f t="shared" si="5"/>
        <v>335</v>
      </c>
      <c r="E337" t="e">
        <f ca="1">RANDOM($B$7)</f>
        <v>#NAME?</v>
      </c>
      <c r="F337" t="e">
        <f ca="1">WEIBULL_INV(E337,$B$4,$B$3)</f>
        <v>#NAME?</v>
      </c>
    </row>
    <row r="338" spans="4:6" x14ac:dyDescent="0.25">
      <c r="D338">
        <f t="shared" si="5"/>
        <v>336</v>
      </c>
      <c r="E338" t="e">
        <f ca="1">RANDOM($B$7)</f>
        <v>#NAME?</v>
      </c>
      <c r="F338" t="e">
        <f ca="1">WEIBULL_INV(E338,$B$4,$B$3)</f>
        <v>#NAME?</v>
      </c>
    </row>
    <row r="339" spans="4:6" x14ac:dyDescent="0.25">
      <c r="D339">
        <f t="shared" si="5"/>
        <v>337</v>
      </c>
      <c r="E339" t="e">
        <f ca="1">RANDOM($B$7)</f>
        <v>#NAME?</v>
      </c>
      <c r="F339" t="e">
        <f ca="1">WEIBULL_INV(E339,$B$4,$B$3)</f>
        <v>#NAME?</v>
      </c>
    </row>
    <row r="340" spans="4:6" x14ac:dyDescent="0.25">
      <c r="D340">
        <f t="shared" si="5"/>
        <v>338</v>
      </c>
      <c r="E340" t="e">
        <f ca="1">RANDOM($B$7)</f>
        <v>#NAME?</v>
      </c>
      <c r="F340" t="e">
        <f ca="1">WEIBULL_INV(E340,$B$4,$B$3)</f>
        <v>#NAME?</v>
      </c>
    </row>
    <row r="341" spans="4:6" x14ac:dyDescent="0.25">
      <c r="D341">
        <f t="shared" si="5"/>
        <v>339</v>
      </c>
      <c r="E341" t="e">
        <f ca="1">RANDOM($B$7)</f>
        <v>#NAME?</v>
      </c>
      <c r="F341" t="e">
        <f ca="1">WEIBULL_INV(E341,$B$4,$B$3)</f>
        <v>#NAME?</v>
      </c>
    </row>
    <row r="342" spans="4:6" x14ac:dyDescent="0.25">
      <c r="D342">
        <f t="shared" si="5"/>
        <v>340</v>
      </c>
      <c r="E342" t="e">
        <f ca="1">RANDOM($B$7)</f>
        <v>#NAME?</v>
      </c>
      <c r="F342" t="e">
        <f ca="1">WEIBULL_INV(E342,$B$4,$B$3)</f>
        <v>#NAME?</v>
      </c>
    </row>
    <row r="343" spans="4:6" x14ac:dyDescent="0.25">
      <c r="D343">
        <f t="shared" si="5"/>
        <v>341</v>
      </c>
      <c r="E343" t="e">
        <f ca="1">RANDOM($B$7)</f>
        <v>#NAME?</v>
      </c>
      <c r="F343" t="e">
        <f ca="1">WEIBULL_INV(E343,$B$4,$B$3)</f>
        <v>#NAME?</v>
      </c>
    </row>
    <row r="344" spans="4:6" x14ac:dyDescent="0.25">
      <c r="D344">
        <f t="shared" si="5"/>
        <v>342</v>
      </c>
      <c r="E344" t="e">
        <f ca="1">RANDOM($B$7)</f>
        <v>#NAME?</v>
      </c>
      <c r="F344" t="e">
        <f ca="1">WEIBULL_INV(E344,$B$4,$B$3)</f>
        <v>#NAME?</v>
      </c>
    </row>
    <row r="345" spans="4:6" x14ac:dyDescent="0.25">
      <c r="D345">
        <f t="shared" si="5"/>
        <v>343</v>
      </c>
      <c r="E345" t="e">
        <f ca="1">RANDOM($B$7)</f>
        <v>#NAME?</v>
      </c>
      <c r="F345" t="e">
        <f ca="1">WEIBULL_INV(E345,$B$4,$B$3)</f>
        <v>#NAME?</v>
      </c>
    </row>
    <row r="346" spans="4:6" x14ac:dyDescent="0.25">
      <c r="D346">
        <f t="shared" si="5"/>
        <v>344</v>
      </c>
      <c r="E346" t="e">
        <f ca="1">RANDOM($B$7)</f>
        <v>#NAME?</v>
      </c>
      <c r="F346" t="e">
        <f ca="1">WEIBULL_INV(E346,$B$4,$B$3)</f>
        <v>#NAME?</v>
      </c>
    </row>
    <row r="347" spans="4:6" x14ac:dyDescent="0.25">
      <c r="D347">
        <f t="shared" si="5"/>
        <v>345</v>
      </c>
      <c r="E347" t="e">
        <f ca="1">RANDOM($B$7)</f>
        <v>#NAME?</v>
      </c>
      <c r="F347" t="e">
        <f ca="1">WEIBULL_INV(E347,$B$4,$B$3)</f>
        <v>#NAME?</v>
      </c>
    </row>
    <row r="348" spans="4:6" x14ac:dyDescent="0.25">
      <c r="D348">
        <f t="shared" si="5"/>
        <v>346</v>
      </c>
      <c r="E348" t="e">
        <f ca="1">RANDOM($B$7)</f>
        <v>#NAME?</v>
      </c>
      <c r="F348" t="e">
        <f ca="1">WEIBULL_INV(E348,$B$4,$B$3)</f>
        <v>#NAME?</v>
      </c>
    </row>
    <row r="349" spans="4:6" x14ac:dyDescent="0.25">
      <c r="D349">
        <f t="shared" si="5"/>
        <v>347</v>
      </c>
      <c r="E349" t="e">
        <f ca="1">RANDOM($B$7)</f>
        <v>#NAME?</v>
      </c>
      <c r="F349" t="e">
        <f ca="1">WEIBULL_INV(E349,$B$4,$B$3)</f>
        <v>#NAME?</v>
      </c>
    </row>
    <row r="350" spans="4:6" x14ac:dyDescent="0.25">
      <c r="D350">
        <f t="shared" si="5"/>
        <v>348</v>
      </c>
      <c r="E350" t="e">
        <f ca="1">RANDOM($B$7)</f>
        <v>#NAME?</v>
      </c>
      <c r="F350" t="e">
        <f ca="1">WEIBULL_INV(E350,$B$4,$B$3)</f>
        <v>#NAME?</v>
      </c>
    </row>
    <row r="351" spans="4:6" x14ac:dyDescent="0.25">
      <c r="D351">
        <f t="shared" si="5"/>
        <v>349</v>
      </c>
      <c r="E351" t="e">
        <f ca="1">RANDOM($B$7)</f>
        <v>#NAME?</v>
      </c>
      <c r="F351" t="e">
        <f ca="1">WEIBULL_INV(E351,$B$4,$B$3)</f>
        <v>#NAME?</v>
      </c>
    </row>
    <row r="352" spans="4:6" x14ac:dyDescent="0.25">
      <c r="D352">
        <f t="shared" si="5"/>
        <v>350</v>
      </c>
      <c r="E352" t="e">
        <f ca="1">RANDOM($B$7)</f>
        <v>#NAME?</v>
      </c>
      <c r="F352" t="e">
        <f ca="1">WEIBULL_INV(E352,$B$4,$B$3)</f>
        <v>#NAME?</v>
      </c>
    </row>
    <row r="353" spans="4:6" x14ac:dyDescent="0.25">
      <c r="D353">
        <f t="shared" si="5"/>
        <v>351</v>
      </c>
      <c r="E353" t="e">
        <f ca="1">RANDOM($B$7)</f>
        <v>#NAME?</v>
      </c>
      <c r="F353" t="e">
        <f ca="1">WEIBULL_INV(E353,$B$4,$B$3)</f>
        <v>#NAME?</v>
      </c>
    </row>
    <row r="354" spans="4:6" x14ac:dyDescent="0.25">
      <c r="D354">
        <f t="shared" si="5"/>
        <v>352</v>
      </c>
      <c r="E354" t="e">
        <f ca="1">RANDOM($B$7)</f>
        <v>#NAME?</v>
      </c>
      <c r="F354" t="e">
        <f ca="1">WEIBULL_INV(E354,$B$4,$B$3)</f>
        <v>#NAME?</v>
      </c>
    </row>
    <row r="355" spans="4:6" x14ac:dyDescent="0.25">
      <c r="D355">
        <f t="shared" si="5"/>
        <v>353</v>
      </c>
      <c r="E355" t="e">
        <f ca="1">RANDOM($B$7)</f>
        <v>#NAME?</v>
      </c>
      <c r="F355" t="e">
        <f ca="1">WEIBULL_INV(E355,$B$4,$B$3)</f>
        <v>#NAME?</v>
      </c>
    </row>
    <row r="356" spans="4:6" x14ac:dyDescent="0.25">
      <c r="D356">
        <f t="shared" si="5"/>
        <v>354</v>
      </c>
      <c r="E356" t="e">
        <f ca="1">RANDOM($B$7)</f>
        <v>#NAME?</v>
      </c>
      <c r="F356" t="e">
        <f ca="1">WEIBULL_INV(E356,$B$4,$B$3)</f>
        <v>#NAME?</v>
      </c>
    </row>
    <row r="357" spans="4:6" x14ac:dyDescent="0.25">
      <c r="D357">
        <f t="shared" si="5"/>
        <v>355</v>
      </c>
      <c r="E357" t="e">
        <f ca="1">RANDOM($B$7)</f>
        <v>#NAME?</v>
      </c>
      <c r="F357" t="e">
        <f ca="1">WEIBULL_INV(E357,$B$4,$B$3)</f>
        <v>#NAME?</v>
      </c>
    </row>
    <row r="358" spans="4:6" x14ac:dyDescent="0.25">
      <c r="D358">
        <f t="shared" si="5"/>
        <v>356</v>
      </c>
      <c r="E358" t="e">
        <f ca="1">RANDOM($B$7)</f>
        <v>#NAME?</v>
      </c>
      <c r="F358" t="e">
        <f ca="1">WEIBULL_INV(E358,$B$4,$B$3)</f>
        <v>#NAME?</v>
      </c>
    </row>
    <row r="359" spans="4:6" x14ac:dyDescent="0.25">
      <c r="D359">
        <f t="shared" si="5"/>
        <v>357</v>
      </c>
      <c r="E359" t="e">
        <f ca="1">RANDOM($B$7)</f>
        <v>#NAME?</v>
      </c>
      <c r="F359" t="e">
        <f ca="1">WEIBULL_INV(E359,$B$4,$B$3)</f>
        <v>#NAME?</v>
      </c>
    </row>
    <row r="360" spans="4:6" x14ac:dyDescent="0.25">
      <c r="D360">
        <f t="shared" si="5"/>
        <v>358</v>
      </c>
      <c r="E360" t="e">
        <f ca="1">RANDOM($B$7)</f>
        <v>#NAME?</v>
      </c>
      <c r="F360" t="e">
        <f ca="1">WEIBULL_INV(E360,$B$4,$B$3)</f>
        <v>#NAME?</v>
      </c>
    </row>
    <row r="361" spans="4:6" x14ac:dyDescent="0.25">
      <c r="D361">
        <f t="shared" si="5"/>
        <v>359</v>
      </c>
      <c r="E361" t="e">
        <f ca="1">RANDOM($B$7)</f>
        <v>#NAME?</v>
      </c>
      <c r="F361" t="e">
        <f ca="1">WEIBULL_INV(E361,$B$4,$B$3)</f>
        <v>#NAME?</v>
      </c>
    </row>
    <row r="362" spans="4:6" x14ac:dyDescent="0.25">
      <c r="D362">
        <f t="shared" si="5"/>
        <v>360</v>
      </c>
      <c r="E362" t="e">
        <f ca="1">RANDOM($B$7)</f>
        <v>#NAME?</v>
      </c>
      <c r="F362" t="e">
        <f ca="1">WEIBULL_INV(E362,$B$4,$B$3)</f>
        <v>#NAME?</v>
      </c>
    </row>
    <row r="363" spans="4:6" x14ac:dyDescent="0.25">
      <c r="D363">
        <f t="shared" si="5"/>
        <v>361</v>
      </c>
      <c r="E363" t="e">
        <f ca="1">RANDOM($B$7)</f>
        <v>#NAME?</v>
      </c>
      <c r="F363" t="e">
        <f ca="1">WEIBULL_INV(E363,$B$4,$B$3)</f>
        <v>#NAME?</v>
      </c>
    </row>
    <row r="364" spans="4:6" x14ac:dyDescent="0.25">
      <c r="D364">
        <f t="shared" si="5"/>
        <v>362</v>
      </c>
      <c r="E364" t="e">
        <f ca="1">RANDOM($B$7)</f>
        <v>#NAME?</v>
      </c>
      <c r="F364" t="e">
        <f ca="1">WEIBULL_INV(E364,$B$4,$B$3)</f>
        <v>#NAME?</v>
      </c>
    </row>
    <row r="365" spans="4:6" x14ac:dyDescent="0.25">
      <c r="D365">
        <f t="shared" si="5"/>
        <v>363</v>
      </c>
      <c r="E365" t="e">
        <f ca="1">RANDOM($B$7)</f>
        <v>#NAME?</v>
      </c>
      <c r="F365" t="e">
        <f ca="1">WEIBULL_INV(E365,$B$4,$B$3)</f>
        <v>#NAME?</v>
      </c>
    </row>
    <row r="366" spans="4:6" x14ac:dyDescent="0.25">
      <c r="D366">
        <f t="shared" si="5"/>
        <v>364</v>
      </c>
      <c r="E366" t="e">
        <f ca="1">RANDOM($B$7)</f>
        <v>#NAME?</v>
      </c>
      <c r="F366" t="e">
        <f ca="1">WEIBULL_INV(E366,$B$4,$B$3)</f>
        <v>#NAME?</v>
      </c>
    </row>
    <row r="367" spans="4:6" x14ac:dyDescent="0.25">
      <c r="D367">
        <f t="shared" si="5"/>
        <v>365</v>
      </c>
      <c r="E367" t="e">
        <f ca="1">RANDOM($B$7)</f>
        <v>#NAME?</v>
      </c>
      <c r="F367" t="e">
        <f ca="1">WEIBULL_INV(E367,$B$4,$B$3)</f>
        <v>#NAME?</v>
      </c>
    </row>
    <row r="368" spans="4:6" x14ac:dyDescent="0.25">
      <c r="D368">
        <f t="shared" si="5"/>
        <v>366</v>
      </c>
      <c r="E368" t="e">
        <f ca="1">RANDOM($B$7)</f>
        <v>#NAME?</v>
      </c>
      <c r="F368" t="e">
        <f ca="1">WEIBULL_INV(E368,$B$4,$B$3)</f>
        <v>#NAME?</v>
      </c>
    </row>
    <row r="369" spans="4:6" x14ac:dyDescent="0.25">
      <c r="D369">
        <f t="shared" si="5"/>
        <v>367</v>
      </c>
      <c r="E369" t="e">
        <f ca="1">RANDOM($B$7)</f>
        <v>#NAME?</v>
      </c>
      <c r="F369" t="e">
        <f ca="1">WEIBULL_INV(E369,$B$4,$B$3)</f>
        <v>#NAME?</v>
      </c>
    </row>
    <row r="370" spans="4:6" x14ac:dyDescent="0.25">
      <c r="D370">
        <f t="shared" si="5"/>
        <v>368</v>
      </c>
      <c r="E370" t="e">
        <f ca="1">RANDOM($B$7)</f>
        <v>#NAME?</v>
      </c>
      <c r="F370" t="e">
        <f ca="1">WEIBULL_INV(E370,$B$4,$B$3)</f>
        <v>#NAME?</v>
      </c>
    </row>
    <row r="371" spans="4:6" x14ac:dyDescent="0.25">
      <c r="D371">
        <f t="shared" si="5"/>
        <v>369</v>
      </c>
      <c r="E371" t="e">
        <f ca="1">RANDOM($B$7)</f>
        <v>#NAME?</v>
      </c>
      <c r="F371" t="e">
        <f ca="1">WEIBULL_INV(E371,$B$4,$B$3)</f>
        <v>#NAME?</v>
      </c>
    </row>
    <row r="372" spans="4:6" x14ac:dyDescent="0.25">
      <c r="D372">
        <f t="shared" si="5"/>
        <v>370</v>
      </c>
      <c r="E372" t="e">
        <f ca="1">RANDOM($B$7)</f>
        <v>#NAME?</v>
      </c>
      <c r="F372" t="e">
        <f ca="1">WEIBULL_INV(E372,$B$4,$B$3)</f>
        <v>#NAME?</v>
      </c>
    </row>
    <row r="373" spans="4:6" x14ac:dyDescent="0.25">
      <c r="D373">
        <f t="shared" si="5"/>
        <v>371</v>
      </c>
      <c r="E373" t="e">
        <f ca="1">RANDOM($B$7)</f>
        <v>#NAME?</v>
      </c>
      <c r="F373" t="e">
        <f ca="1">WEIBULL_INV(E373,$B$4,$B$3)</f>
        <v>#NAME?</v>
      </c>
    </row>
    <row r="374" spans="4:6" x14ac:dyDescent="0.25">
      <c r="D374">
        <f t="shared" si="5"/>
        <v>372</v>
      </c>
      <c r="E374" t="e">
        <f ca="1">RANDOM($B$7)</f>
        <v>#NAME?</v>
      </c>
      <c r="F374" t="e">
        <f ca="1">WEIBULL_INV(E374,$B$4,$B$3)</f>
        <v>#NAME?</v>
      </c>
    </row>
    <row r="375" spans="4:6" x14ac:dyDescent="0.25">
      <c r="D375">
        <f t="shared" si="5"/>
        <v>373</v>
      </c>
      <c r="E375" t="e">
        <f ca="1">RANDOM($B$7)</f>
        <v>#NAME?</v>
      </c>
      <c r="F375" t="e">
        <f ca="1">WEIBULL_INV(E375,$B$4,$B$3)</f>
        <v>#NAME?</v>
      </c>
    </row>
    <row r="376" spans="4:6" x14ac:dyDescent="0.25">
      <c r="D376">
        <f t="shared" si="5"/>
        <v>374</v>
      </c>
      <c r="E376" t="e">
        <f ca="1">RANDOM($B$7)</f>
        <v>#NAME?</v>
      </c>
      <c r="F376" t="e">
        <f ca="1">WEIBULL_INV(E376,$B$4,$B$3)</f>
        <v>#NAME?</v>
      </c>
    </row>
    <row r="377" spans="4:6" x14ac:dyDescent="0.25">
      <c r="D377">
        <f t="shared" si="5"/>
        <v>375</v>
      </c>
      <c r="E377" t="e">
        <f ca="1">RANDOM($B$7)</f>
        <v>#NAME?</v>
      </c>
      <c r="F377" t="e">
        <f ca="1">WEIBULL_INV(E377,$B$4,$B$3)</f>
        <v>#NAME?</v>
      </c>
    </row>
    <row r="378" spans="4:6" x14ac:dyDescent="0.25">
      <c r="D378">
        <f t="shared" si="5"/>
        <v>376</v>
      </c>
      <c r="E378" t="e">
        <f ca="1">RANDOM($B$7)</f>
        <v>#NAME?</v>
      </c>
      <c r="F378" t="e">
        <f ca="1">WEIBULL_INV(E378,$B$4,$B$3)</f>
        <v>#NAME?</v>
      </c>
    </row>
    <row r="379" spans="4:6" x14ac:dyDescent="0.25">
      <c r="D379">
        <f t="shared" si="5"/>
        <v>377</v>
      </c>
      <c r="E379" t="e">
        <f ca="1">RANDOM($B$7)</f>
        <v>#NAME?</v>
      </c>
      <c r="F379" t="e">
        <f ca="1">WEIBULL_INV(E379,$B$4,$B$3)</f>
        <v>#NAME?</v>
      </c>
    </row>
    <row r="380" spans="4:6" x14ac:dyDescent="0.25">
      <c r="D380">
        <f t="shared" si="5"/>
        <v>378</v>
      </c>
      <c r="E380" t="e">
        <f ca="1">RANDOM($B$7)</f>
        <v>#NAME?</v>
      </c>
      <c r="F380" t="e">
        <f ca="1">WEIBULL_INV(E380,$B$4,$B$3)</f>
        <v>#NAME?</v>
      </c>
    </row>
    <row r="381" spans="4:6" x14ac:dyDescent="0.25">
      <c r="D381">
        <f t="shared" si="5"/>
        <v>379</v>
      </c>
      <c r="E381" t="e">
        <f ca="1">RANDOM($B$7)</f>
        <v>#NAME?</v>
      </c>
      <c r="F381" t="e">
        <f ca="1">WEIBULL_INV(E381,$B$4,$B$3)</f>
        <v>#NAME?</v>
      </c>
    </row>
    <row r="382" spans="4:6" x14ac:dyDescent="0.25">
      <c r="D382">
        <f t="shared" si="5"/>
        <v>380</v>
      </c>
      <c r="E382" t="e">
        <f ca="1">RANDOM($B$7)</f>
        <v>#NAME?</v>
      </c>
      <c r="F382" t="e">
        <f ca="1">WEIBULL_INV(E382,$B$4,$B$3)</f>
        <v>#NAME?</v>
      </c>
    </row>
    <row r="383" spans="4:6" x14ac:dyDescent="0.25">
      <c r="D383">
        <f t="shared" si="5"/>
        <v>381</v>
      </c>
      <c r="E383" t="e">
        <f ca="1">RANDOM($B$7)</f>
        <v>#NAME?</v>
      </c>
      <c r="F383" t="e">
        <f ca="1">WEIBULL_INV(E383,$B$4,$B$3)</f>
        <v>#NAME?</v>
      </c>
    </row>
    <row r="384" spans="4:6" x14ac:dyDescent="0.25">
      <c r="D384">
        <f t="shared" si="5"/>
        <v>382</v>
      </c>
      <c r="E384" t="e">
        <f ca="1">RANDOM($B$7)</f>
        <v>#NAME?</v>
      </c>
      <c r="F384" t="e">
        <f ca="1">WEIBULL_INV(E384,$B$4,$B$3)</f>
        <v>#NAME?</v>
      </c>
    </row>
    <row r="385" spans="4:6" x14ac:dyDescent="0.25">
      <c r="D385">
        <f t="shared" si="5"/>
        <v>383</v>
      </c>
      <c r="E385" t="e">
        <f ca="1">RANDOM($B$7)</f>
        <v>#NAME?</v>
      </c>
      <c r="F385" t="e">
        <f ca="1">WEIBULL_INV(E385,$B$4,$B$3)</f>
        <v>#NAME?</v>
      </c>
    </row>
    <row r="386" spans="4:6" x14ac:dyDescent="0.25">
      <c r="D386">
        <f t="shared" si="5"/>
        <v>384</v>
      </c>
      <c r="E386" t="e">
        <f ca="1">RANDOM($B$7)</f>
        <v>#NAME?</v>
      </c>
      <c r="F386" t="e">
        <f ca="1">WEIBULL_INV(E386,$B$4,$B$3)</f>
        <v>#NAME?</v>
      </c>
    </row>
    <row r="387" spans="4:6" x14ac:dyDescent="0.25">
      <c r="D387">
        <f t="shared" si="5"/>
        <v>385</v>
      </c>
      <c r="E387" t="e">
        <f ca="1">RANDOM($B$7)</f>
        <v>#NAME?</v>
      </c>
      <c r="F387" t="e">
        <f ca="1">WEIBULL_INV(E387,$B$4,$B$3)</f>
        <v>#NAME?</v>
      </c>
    </row>
    <row r="388" spans="4:6" x14ac:dyDescent="0.25">
      <c r="D388">
        <f t="shared" si="5"/>
        <v>386</v>
      </c>
      <c r="E388" t="e">
        <f ca="1">RANDOM($B$7)</f>
        <v>#NAME?</v>
      </c>
      <c r="F388" t="e">
        <f ca="1">WEIBULL_INV(E388,$B$4,$B$3)</f>
        <v>#NAME?</v>
      </c>
    </row>
    <row r="389" spans="4:6" x14ac:dyDescent="0.25">
      <c r="D389">
        <f t="shared" ref="D389:D452" si="6">D388+1</f>
        <v>387</v>
      </c>
      <c r="E389" t="e">
        <f ca="1">RANDOM($B$7)</f>
        <v>#NAME?</v>
      </c>
      <c r="F389" t="e">
        <f ca="1">WEIBULL_INV(E389,$B$4,$B$3)</f>
        <v>#NAME?</v>
      </c>
    </row>
    <row r="390" spans="4:6" x14ac:dyDescent="0.25">
      <c r="D390">
        <f t="shared" si="6"/>
        <v>388</v>
      </c>
      <c r="E390" t="e">
        <f ca="1">RANDOM($B$7)</f>
        <v>#NAME?</v>
      </c>
      <c r="F390" t="e">
        <f ca="1">WEIBULL_INV(E390,$B$4,$B$3)</f>
        <v>#NAME?</v>
      </c>
    </row>
    <row r="391" spans="4:6" x14ac:dyDescent="0.25">
      <c r="D391">
        <f t="shared" si="6"/>
        <v>389</v>
      </c>
      <c r="E391" t="e">
        <f ca="1">RANDOM($B$7)</f>
        <v>#NAME?</v>
      </c>
      <c r="F391" t="e">
        <f ca="1">WEIBULL_INV(E391,$B$4,$B$3)</f>
        <v>#NAME?</v>
      </c>
    </row>
    <row r="392" spans="4:6" x14ac:dyDescent="0.25">
      <c r="D392">
        <f t="shared" si="6"/>
        <v>390</v>
      </c>
      <c r="E392" t="e">
        <f ca="1">RANDOM($B$7)</f>
        <v>#NAME?</v>
      </c>
      <c r="F392" t="e">
        <f ca="1">WEIBULL_INV(E392,$B$4,$B$3)</f>
        <v>#NAME?</v>
      </c>
    </row>
    <row r="393" spans="4:6" x14ac:dyDescent="0.25">
      <c r="D393">
        <f t="shared" si="6"/>
        <v>391</v>
      </c>
      <c r="E393" t="e">
        <f ca="1">RANDOM($B$7)</f>
        <v>#NAME?</v>
      </c>
      <c r="F393" t="e">
        <f ca="1">WEIBULL_INV(E393,$B$4,$B$3)</f>
        <v>#NAME?</v>
      </c>
    </row>
    <row r="394" spans="4:6" x14ac:dyDescent="0.25">
      <c r="D394">
        <f t="shared" si="6"/>
        <v>392</v>
      </c>
      <c r="E394" t="e">
        <f ca="1">RANDOM($B$7)</f>
        <v>#NAME?</v>
      </c>
      <c r="F394" t="e">
        <f ca="1">WEIBULL_INV(E394,$B$4,$B$3)</f>
        <v>#NAME?</v>
      </c>
    </row>
    <row r="395" spans="4:6" x14ac:dyDescent="0.25">
      <c r="D395">
        <f t="shared" si="6"/>
        <v>393</v>
      </c>
      <c r="E395" t="e">
        <f ca="1">RANDOM($B$7)</f>
        <v>#NAME?</v>
      </c>
      <c r="F395" t="e">
        <f ca="1">WEIBULL_INV(E395,$B$4,$B$3)</f>
        <v>#NAME?</v>
      </c>
    </row>
    <row r="396" spans="4:6" x14ac:dyDescent="0.25">
      <c r="D396">
        <f t="shared" si="6"/>
        <v>394</v>
      </c>
      <c r="E396" t="e">
        <f ca="1">RANDOM($B$7)</f>
        <v>#NAME?</v>
      </c>
      <c r="F396" t="e">
        <f ca="1">WEIBULL_INV(E396,$B$4,$B$3)</f>
        <v>#NAME?</v>
      </c>
    </row>
    <row r="397" spans="4:6" x14ac:dyDescent="0.25">
      <c r="D397">
        <f t="shared" si="6"/>
        <v>395</v>
      </c>
      <c r="E397" t="e">
        <f ca="1">RANDOM($B$7)</f>
        <v>#NAME?</v>
      </c>
      <c r="F397" t="e">
        <f ca="1">WEIBULL_INV(E397,$B$4,$B$3)</f>
        <v>#NAME?</v>
      </c>
    </row>
    <row r="398" spans="4:6" x14ac:dyDescent="0.25">
      <c r="D398">
        <f t="shared" si="6"/>
        <v>396</v>
      </c>
      <c r="E398" t="e">
        <f ca="1">RANDOM($B$7)</f>
        <v>#NAME?</v>
      </c>
      <c r="F398" t="e">
        <f ca="1">WEIBULL_INV(E398,$B$4,$B$3)</f>
        <v>#NAME?</v>
      </c>
    </row>
    <row r="399" spans="4:6" x14ac:dyDescent="0.25">
      <c r="D399">
        <f t="shared" si="6"/>
        <v>397</v>
      </c>
      <c r="E399" t="e">
        <f ca="1">RANDOM($B$7)</f>
        <v>#NAME?</v>
      </c>
      <c r="F399" t="e">
        <f ca="1">WEIBULL_INV(E399,$B$4,$B$3)</f>
        <v>#NAME?</v>
      </c>
    </row>
    <row r="400" spans="4:6" x14ac:dyDescent="0.25">
      <c r="D400">
        <f t="shared" si="6"/>
        <v>398</v>
      </c>
      <c r="E400" t="e">
        <f ca="1">RANDOM($B$7)</f>
        <v>#NAME?</v>
      </c>
      <c r="F400" t="e">
        <f ca="1">WEIBULL_INV(E400,$B$4,$B$3)</f>
        <v>#NAME?</v>
      </c>
    </row>
    <row r="401" spans="4:6" x14ac:dyDescent="0.25">
      <c r="D401">
        <f t="shared" si="6"/>
        <v>399</v>
      </c>
      <c r="E401" t="e">
        <f ca="1">RANDOM($B$7)</f>
        <v>#NAME?</v>
      </c>
      <c r="F401" t="e">
        <f ca="1">WEIBULL_INV(E401,$B$4,$B$3)</f>
        <v>#NAME?</v>
      </c>
    </row>
    <row r="402" spans="4:6" x14ac:dyDescent="0.25">
      <c r="D402">
        <f t="shared" si="6"/>
        <v>400</v>
      </c>
      <c r="E402" t="e">
        <f ca="1">RANDOM($B$7)</f>
        <v>#NAME?</v>
      </c>
      <c r="F402" t="e">
        <f ca="1">WEIBULL_INV(E402,$B$4,$B$3)</f>
        <v>#NAME?</v>
      </c>
    </row>
    <row r="403" spans="4:6" x14ac:dyDescent="0.25">
      <c r="D403">
        <f t="shared" si="6"/>
        <v>401</v>
      </c>
      <c r="E403" t="e">
        <f ca="1">RANDOM($B$7)</f>
        <v>#NAME?</v>
      </c>
      <c r="F403" t="e">
        <f ca="1">WEIBULL_INV(E403,$B$4,$B$3)</f>
        <v>#NAME?</v>
      </c>
    </row>
    <row r="404" spans="4:6" x14ac:dyDescent="0.25">
      <c r="D404">
        <f t="shared" si="6"/>
        <v>402</v>
      </c>
      <c r="E404" t="e">
        <f ca="1">RANDOM($B$7)</f>
        <v>#NAME?</v>
      </c>
      <c r="F404" t="e">
        <f ca="1">WEIBULL_INV(E404,$B$4,$B$3)</f>
        <v>#NAME?</v>
      </c>
    </row>
    <row r="405" spans="4:6" x14ac:dyDescent="0.25">
      <c r="D405">
        <f t="shared" si="6"/>
        <v>403</v>
      </c>
      <c r="E405" t="e">
        <f ca="1">RANDOM($B$7)</f>
        <v>#NAME?</v>
      </c>
      <c r="F405" t="e">
        <f ca="1">WEIBULL_INV(E405,$B$4,$B$3)</f>
        <v>#NAME?</v>
      </c>
    </row>
    <row r="406" spans="4:6" x14ac:dyDescent="0.25">
      <c r="D406">
        <f t="shared" si="6"/>
        <v>404</v>
      </c>
      <c r="E406" t="e">
        <f ca="1">RANDOM($B$7)</f>
        <v>#NAME?</v>
      </c>
      <c r="F406" t="e">
        <f ca="1">WEIBULL_INV(E406,$B$4,$B$3)</f>
        <v>#NAME?</v>
      </c>
    </row>
    <row r="407" spans="4:6" x14ac:dyDescent="0.25">
      <c r="D407">
        <f t="shared" si="6"/>
        <v>405</v>
      </c>
      <c r="E407" t="e">
        <f ca="1">RANDOM($B$7)</f>
        <v>#NAME?</v>
      </c>
      <c r="F407" t="e">
        <f ca="1">WEIBULL_INV(E407,$B$4,$B$3)</f>
        <v>#NAME?</v>
      </c>
    </row>
    <row r="408" spans="4:6" x14ac:dyDescent="0.25">
      <c r="D408">
        <f t="shared" si="6"/>
        <v>406</v>
      </c>
      <c r="E408" t="e">
        <f ca="1">RANDOM($B$7)</f>
        <v>#NAME?</v>
      </c>
      <c r="F408" t="e">
        <f ca="1">WEIBULL_INV(E408,$B$4,$B$3)</f>
        <v>#NAME?</v>
      </c>
    </row>
    <row r="409" spans="4:6" x14ac:dyDescent="0.25">
      <c r="D409">
        <f t="shared" si="6"/>
        <v>407</v>
      </c>
      <c r="E409" t="e">
        <f ca="1">RANDOM($B$7)</f>
        <v>#NAME?</v>
      </c>
      <c r="F409" t="e">
        <f ca="1">WEIBULL_INV(E409,$B$4,$B$3)</f>
        <v>#NAME?</v>
      </c>
    </row>
    <row r="410" spans="4:6" x14ac:dyDescent="0.25">
      <c r="D410">
        <f t="shared" si="6"/>
        <v>408</v>
      </c>
      <c r="E410" t="e">
        <f ca="1">RANDOM($B$7)</f>
        <v>#NAME?</v>
      </c>
      <c r="F410" t="e">
        <f ca="1">WEIBULL_INV(E410,$B$4,$B$3)</f>
        <v>#NAME?</v>
      </c>
    </row>
    <row r="411" spans="4:6" x14ac:dyDescent="0.25">
      <c r="D411">
        <f t="shared" si="6"/>
        <v>409</v>
      </c>
      <c r="E411" t="e">
        <f ca="1">RANDOM($B$7)</f>
        <v>#NAME?</v>
      </c>
      <c r="F411" t="e">
        <f ca="1">WEIBULL_INV(E411,$B$4,$B$3)</f>
        <v>#NAME?</v>
      </c>
    </row>
    <row r="412" spans="4:6" x14ac:dyDescent="0.25">
      <c r="D412">
        <f t="shared" si="6"/>
        <v>410</v>
      </c>
      <c r="E412" t="e">
        <f ca="1">RANDOM($B$7)</f>
        <v>#NAME?</v>
      </c>
      <c r="F412" t="e">
        <f ca="1">WEIBULL_INV(E412,$B$4,$B$3)</f>
        <v>#NAME?</v>
      </c>
    </row>
    <row r="413" spans="4:6" x14ac:dyDescent="0.25">
      <c r="D413">
        <f t="shared" si="6"/>
        <v>411</v>
      </c>
      <c r="E413" t="e">
        <f ca="1">RANDOM($B$7)</f>
        <v>#NAME?</v>
      </c>
      <c r="F413" t="e">
        <f ca="1">WEIBULL_INV(E413,$B$4,$B$3)</f>
        <v>#NAME?</v>
      </c>
    </row>
    <row r="414" spans="4:6" x14ac:dyDescent="0.25">
      <c r="D414">
        <f t="shared" si="6"/>
        <v>412</v>
      </c>
      <c r="E414" t="e">
        <f ca="1">RANDOM($B$7)</f>
        <v>#NAME?</v>
      </c>
      <c r="F414" t="e">
        <f ca="1">WEIBULL_INV(E414,$B$4,$B$3)</f>
        <v>#NAME?</v>
      </c>
    </row>
    <row r="415" spans="4:6" x14ac:dyDescent="0.25">
      <c r="D415">
        <f t="shared" si="6"/>
        <v>413</v>
      </c>
      <c r="E415" t="e">
        <f ca="1">RANDOM($B$7)</f>
        <v>#NAME?</v>
      </c>
      <c r="F415" t="e">
        <f ca="1">WEIBULL_INV(E415,$B$4,$B$3)</f>
        <v>#NAME?</v>
      </c>
    </row>
    <row r="416" spans="4:6" x14ac:dyDescent="0.25">
      <c r="D416">
        <f t="shared" si="6"/>
        <v>414</v>
      </c>
      <c r="E416" t="e">
        <f ca="1">RANDOM($B$7)</f>
        <v>#NAME?</v>
      </c>
      <c r="F416" t="e">
        <f ca="1">WEIBULL_INV(E416,$B$4,$B$3)</f>
        <v>#NAME?</v>
      </c>
    </row>
    <row r="417" spans="4:6" x14ac:dyDescent="0.25">
      <c r="D417">
        <f t="shared" si="6"/>
        <v>415</v>
      </c>
      <c r="E417" t="e">
        <f ca="1">RANDOM($B$7)</f>
        <v>#NAME?</v>
      </c>
      <c r="F417" t="e">
        <f ca="1">WEIBULL_INV(E417,$B$4,$B$3)</f>
        <v>#NAME?</v>
      </c>
    </row>
    <row r="418" spans="4:6" x14ac:dyDescent="0.25">
      <c r="D418">
        <f t="shared" si="6"/>
        <v>416</v>
      </c>
      <c r="E418" t="e">
        <f ca="1">RANDOM($B$7)</f>
        <v>#NAME?</v>
      </c>
      <c r="F418" t="e">
        <f ca="1">WEIBULL_INV(E418,$B$4,$B$3)</f>
        <v>#NAME?</v>
      </c>
    </row>
    <row r="419" spans="4:6" x14ac:dyDescent="0.25">
      <c r="D419">
        <f t="shared" si="6"/>
        <v>417</v>
      </c>
      <c r="E419" t="e">
        <f ca="1">RANDOM($B$7)</f>
        <v>#NAME?</v>
      </c>
      <c r="F419" t="e">
        <f ca="1">WEIBULL_INV(E419,$B$4,$B$3)</f>
        <v>#NAME?</v>
      </c>
    </row>
    <row r="420" spans="4:6" x14ac:dyDescent="0.25">
      <c r="D420">
        <f t="shared" si="6"/>
        <v>418</v>
      </c>
      <c r="E420" t="e">
        <f ca="1">RANDOM($B$7)</f>
        <v>#NAME?</v>
      </c>
      <c r="F420" t="e">
        <f ca="1">WEIBULL_INV(E420,$B$4,$B$3)</f>
        <v>#NAME?</v>
      </c>
    </row>
    <row r="421" spans="4:6" x14ac:dyDescent="0.25">
      <c r="D421">
        <f t="shared" si="6"/>
        <v>419</v>
      </c>
      <c r="E421" t="e">
        <f ca="1">RANDOM($B$7)</f>
        <v>#NAME?</v>
      </c>
      <c r="F421" t="e">
        <f ca="1">WEIBULL_INV(E421,$B$4,$B$3)</f>
        <v>#NAME?</v>
      </c>
    </row>
    <row r="422" spans="4:6" x14ac:dyDescent="0.25">
      <c r="D422">
        <f t="shared" si="6"/>
        <v>420</v>
      </c>
      <c r="E422" t="e">
        <f ca="1">RANDOM($B$7)</f>
        <v>#NAME?</v>
      </c>
      <c r="F422" t="e">
        <f ca="1">WEIBULL_INV(E422,$B$4,$B$3)</f>
        <v>#NAME?</v>
      </c>
    </row>
    <row r="423" spans="4:6" x14ac:dyDescent="0.25">
      <c r="D423">
        <f t="shared" si="6"/>
        <v>421</v>
      </c>
      <c r="E423" t="e">
        <f ca="1">RANDOM($B$7)</f>
        <v>#NAME?</v>
      </c>
      <c r="F423" t="e">
        <f ca="1">WEIBULL_INV(E423,$B$4,$B$3)</f>
        <v>#NAME?</v>
      </c>
    </row>
    <row r="424" spans="4:6" x14ac:dyDescent="0.25">
      <c r="D424">
        <f t="shared" si="6"/>
        <v>422</v>
      </c>
      <c r="E424" t="e">
        <f ca="1">RANDOM($B$7)</f>
        <v>#NAME?</v>
      </c>
      <c r="F424" t="e">
        <f ca="1">WEIBULL_INV(E424,$B$4,$B$3)</f>
        <v>#NAME?</v>
      </c>
    </row>
    <row r="425" spans="4:6" x14ac:dyDescent="0.25">
      <c r="D425">
        <f t="shared" si="6"/>
        <v>423</v>
      </c>
      <c r="E425" t="e">
        <f ca="1">RANDOM($B$7)</f>
        <v>#NAME?</v>
      </c>
      <c r="F425" t="e">
        <f ca="1">WEIBULL_INV(E425,$B$4,$B$3)</f>
        <v>#NAME?</v>
      </c>
    </row>
    <row r="426" spans="4:6" x14ac:dyDescent="0.25">
      <c r="D426">
        <f t="shared" si="6"/>
        <v>424</v>
      </c>
      <c r="E426" t="e">
        <f ca="1">RANDOM($B$7)</f>
        <v>#NAME?</v>
      </c>
      <c r="F426" t="e">
        <f ca="1">WEIBULL_INV(E426,$B$4,$B$3)</f>
        <v>#NAME?</v>
      </c>
    </row>
    <row r="427" spans="4:6" x14ac:dyDescent="0.25">
      <c r="D427">
        <f t="shared" si="6"/>
        <v>425</v>
      </c>
      <c r="E427" t="e">
        <f ca="1">RANDOM($B$7)</f>
        <v>#NAME?</v>
      </c>
      <c r="F427" t="e">
        <f ca="1">WEIBULL_INV(E427,$B$4,$B$3)</f>
        <v>#NAME?</v>
      </c>
    </row>
    <row r="428" spans="4:6" x14ac:dyDescent="0.25">
      <c r="D428">
        <f t="shared" si="6"/>
        <v>426</v>
      </c>
      <c r="E428" t="e">
        <f ca="1">RANDOM($B$7)</f>
        <v>#NAME?</v>
      </c>
      <c r="F428" t="e">
        <f ca="1">WEIBULL_INV(E428,$B$4,$B$3)</f>
        <v>#NAME?</v>
      </c>
    </row>
    <row r="429" spans="4:6" x14ac:dyDescent="0.25">
      <c r="D429">
        <f t="shared" si="6"/>
        <v>427</v>
      </c>
      <c r="E429" t="e">
        <f ca="1">RANDOM($B$7)</f>
        <v>#NAME?</v>
      </c>
      <c r="F429" t="e">
        <f ca="1">WEIBULL_INV(E429,$B$4,$B$3)</f>
        <v>#NAME?</v>
      </c>
    </row>
    <row r="430" spans="4:6" x14ac:dyDescent="0.25">
      <c r="D430">
        <f t="shared" si="6"/>
        <v>428</v>
      </c>
      <c r="E430" t="e">
        <f ca="1">RANDOM($B$7)</f>
        <v>#NAME?</v>
      </c>
      <c r="F430" t="e">
        <f ca="1">WEIBULL_INV(E430,$B$4,$B$3)</f>
        <v>#NAME?</v>
      </c>
    </row>
    <row r="431" spans="4:6" x14ac:dyDescent="0.25">
      <c r="D431">
        <f t="shared" si="6"/>
        <v>429</v>
      </c>
      <c r="E431" t="e">
        <f ca="1">RANDOM($B$7)</f>
        <v>#NAME?</v>
      </c>
      <c r="F431" t="e">
        <f ca="1">WEIBULL_INV(E431,$B$4,$B$3)</f>
        <v>#NAME?</v>
      </c>
    </row>
    <row r="432" spans="4:6" x14ac:dyDescent="0.25">
      <c r="D432">
        <f t="shared" si="6"/>
        <v>430</v>
      </c>
      <c r="E432" t="e">
        <f ca="1">RANDOM($B$7)</f>
        <v>#NAME?</v>
      </c>
      <c r="F432" t="e">
        <f ca="1">WEIBULL_INV(E432,$B$4,$B$3)</f>
        <v>#NAME?</v>
      </c>
    </row>
    <row r="433" spans="4:6" x14ac:dyDescent="0.25">
      <c r="D433">
        <f t="shared" si="6"/>
        <v>431</v>
      </c>
      <c r="E433" t="e">
        <f ca="1">RANDOM($B$7)</f>
        <v>#NAME?</v>
      </c>
      <c r="F433" t="e">
        <f ca="1">WEIBULL_INV(E433,$B$4,$B$3)</f>
        <v>#NAME?</v>
      </c>
    </row>
    <row r="434" spans="4:6" x14ac:dyDescent="0.25">
      <c r="D434">
        <f t="shared" si="6"/>
        <v>432</v>
      </c>
      <c r="E434" t="e">
        <f ca="1">RANDOM($B$7)</f>
        <v>#NAME?</v>
      </c>
      <c r="F434" t="e">
        <f ca="1">WEIBULL_INV(E434,$B$4,$B$3)</f>
        <v>#NAME?</v>
      </c>
    </row>
    <row r="435" spans="4:6" x14ac:dyDescent="0.25">
      <c r="D435">
        <f t="shared" si="6"/>
        <v>433</v>
      </c>
      <c r="E435" t="e">
        <f ca="1">RANDOM($B$7)</f>
        <v>#NAME?</v>
      </c>
      <c r="F435" t="e">
        <f ca="1">WEIBULL_INV(E435,$B$4,$B$3)</f>
        <v>#NAME?</v>
      </c>
    </row>
    <row r="436" spans="4:6" x14ac:dyDescent="0.25">
      <c r="D436">
        <f t="shared" si="6"/>
        <v>434</v>
      </c>
      <c r="E436" t="e">
        <f ca="1">RANDOM($B$7)</f>
        <v>#NAME?</v>
      </c>
      <c r="F436" t="e">
        <f ca="1">WEIBULL_INV(E436,$B$4,$B$3)</f>
        <v>#NAME?</v>
      </c>
    </row>
    <row r="437" spans="4:6" x14ac:dyDescent="0.25">
      <c r="D437">
        <f t="shared" si="6"/>
        <v>435</v>
      </c>
      <c r="E437" t="e">
        <f ca="1">RANDOM($B$7)</f>
        <v>#NAME?</v>
      </c>
      <c r="F437" t="e">
        <f ca="1">WEIBULL_INV(E437,$B$4,$B$3)</f>
        <v>#NAME?</v>
      </c>
    </row>
    <row r="438" spans="4:6" x14ac:dyDescent="0.25">
      <c r="D438">
        <f t="shared" si="6"/>
        <v>436</v>
      </c>
      <c r="E438" t="e">
        <f ca="1">RANDOM($B$7)</f>
        <v>#NAME?</v>
      </c>
      <c r="F438" t="e">
        <f ca="1">WEIBULL_INV(E438,$B$4,$B$3)</f>
        <v>#NAME?</v>
      </c>
    </row>
    <row r="439" spans="4:6" x14ac:dyDescent="0.25">
      <c r="D439">
        <f t="shared" si="6"/>
        <v>437</v>
      </c>
      <c r="E439" t="e">
        <f ca="1">RANDOM($B$7)</f>
        <v>#NAME?</v>
      </c>
      <c r="F439" t="e">
        <f ca="1">WEIBULL_INV(E439,$B$4,$B$3)</f>
        <v>#NAME?</v>
      </c>
    </row>
    <row r="440" spans="4:6" x14ac:dyDescent="0.25">
      <c r="D440">
        <f t="shared" si="6"/>
        <v>438</v>
      </c>
      <c r="E440" t="e">
        <f ca="1">RANDOM($B$7)</f>
        <v>#NAME?</v>
      </c>
      <c r="F440" t="e">
        <f ca="1">WEIBULL_INV(E440,$B$4,$B$3)</f>
        <v>#NAME?</v>
      </c>
    </row>
    <row r="441" spans="4:6" x14ac:dyDescent="0.25">
      <c r="D441">
        <f t="shared" si="6"/>
        <v>439</v>
      </c>
      <c r="E441" t="e">
        <f ca="1">RANDOM($B$7)</f>
        <v>#NAME?</v>
      </c>
      <c r="F441" t="e">
        <f ca="1">WEIBULL_INV(E441,$B$4,$B$3)</f>
        <v>#NAME?</v>
      </c>
    </row>
    <row r="442" spans="4:6" x14ac:dyDescent="0.25">
      <c r="D442">
        <f t="shared" si="6"/>
        <v>440</v>
      </c>
      <c r="E442" t="e">
        <f ca="1">RANDOM($B$7)</f>
        <v>#NAME?</v>
      </c>
      <c r="F442" t="e">
        <f ca="1">WEIBULL_INV(E442,$B$4,$B$3)</f>
        <v>#NAME?</v>
      </c>
    </row>
    <row r="443" spans="4:6" x14ac:dyDescent="0.25">
      <c r="D443">
        <f t="shared" si="6"/>
        <v>441</v>
      </c>
      <c r="E443" t="e">
        <f ca="1">RANDOM($B$7)</f>
        <v>#NAME?</v>
      </c>
      <c r="F443" t="e">
        <f ca="1">WEIBULL_INV(E443,$B$4,$B$3)</f>
        <v>#NAME?</v>
      </c>
    </row>
    <row r="444" spans="4:6" x14ac:dyDescent="0.25">
      <c r="D444">
        <f t="shared" si="6"/>
        <v>442</v>
      </c>
      <c r="E444" t="e">
        <f ca="1">RANDOM($B$7)</f>
        <v>#NAME?</v>
      </c>
      <c r="F444" t="e">
        <f ca="1">WEIBULL_INV(E444,$B$4,$B$3)</f>
        <v>#NAME?</v>
      </c>
    </row>
    <row r="445" spans="4:6" x14ac:dyDescent="0.25">
      <c r="D445">
        <f t="shared" si="6"/>
        <v>443</v>
      </c>
      <c r="E445" t="e">
        <f ca="1">RANDOM($B$7)</f>
        <v>#NAME?</v>
      </c>
      <c r="F445" t="e">
        <f ca="1">WEIBULL_INV(E445,$B$4,$B$3)</f>
        <v>#NAME?</v>
      </c>
    </row>
    <row r="446" spans="4:6" x14ac:dyDescent="0.25">
      <c r="D446">
        <f t="shared" si="6"/>
        <v>444</v>
      </c>
      <c r="E446" t="e">
        <f ca="1">RANDOM($B$7)</f>
        <v>#NAME?</v>
      </c>
      <c r="F446" t="e">
        <f ca="1">WEIBULL_INV(E446,$B$4,$B$3)</f>
        <v>#NAME?</v>
      </c>
    </row>
    <row r="447" spans="4:6" x14ac:dyDescent="0.25">
      <c r="D447">
        <f t="shared" si="6"/>
        <v>445</v>
      </c>
      <c r="E447" t="e">
        <f ca="1">RANDOM($B$7)</f>
        <v>#NAME?</v>
      </c>
      <c r="F447" t="e">
        <f ca="1">WEIBULL_INV(E447,$B$4,$B$3)</f>
        <v>#NAME?</v>
      </c>
    </row>
    <row r="448" spans="4:6" x14ac:dyDescent="0.25">
      <c r="D448">
        <f t="shared" si="6"/>
        <v>446</v>
      </c>
      <c r="E448" t="e">
        <f ca="1">RANDOM($B$7)</f>
        <v>#NAME?</v>
      </c>
      <c r="F448" t="e">
        <f ca="1">WEIBULL_INV(E448,$B$4,$B$3)</f>
        <v>#NAME?</v>
      </c>
    </row>
    <row r="449" spans="4:6" x14ac:dyDescent="0.25">
      <c r="D449">
        <f t="shared" si="6"/>
        <v>447</v>
      </c>
      <c r="E449" t="e">
        <f ca="1">RANDOM($B$7)</f>
        <v>#NAME?</v>
      </c>
      <c r="F449" t="e">
        <f ca="1">WEIBULL_INV(E449,$B$4,$B$3)</f>
        <v>#NAME?</v>
      </c>
    </row>
    <row r="450" spans="4:6" x14ac:dyDescent="0.25">
      <c r="D450">
        <f t="shared" si="6"/>
        <v>448</v>
      </c>
      <c r="E450" t="e">
        <f ca="1">RANDOM($B$7)</f>
        <v>#NAME?</v>
      </c>
      <c r="F450" t="e">
        <f ca="1">WEIBULL_INV(E450,$B$4,$B$3)</f>
        <v>#NAME?</v>
      </c>
    </row>
    <row r="451" spans="4:6" x14ac:dyDescent="0.25">
      <c r="D451">
        <f t="shared" si="6"/>
        <v>449</v>
      </c>
      <c r="E451" t="e">
        <f ca="1">RANDOM($B$7)</f>
        <v>#NAME?</v>
      </c>
      <c r="F451" t="e">
        <f ca="1">WEIBULL_INV(E451,$B$4,$B$3)</f>
        <v>#NAME?</v>
      </c>
    </row>
    <row r="452" spans="4:6" x14ac:dyDescent="0.25">
      <c r="D452">
        <f t="shared" si="6"/>
        <v>450</v>
      </c>
      <c r="E452" t="e">
        <f ca="1">RANDOM($B$7)</f>
        <v>#NAME?</v>
      </c>
      <c r="F452" t="e">
        <f ca="1">WEIBULL_INV(E452,$B$4,$B$3)</f>
        <v>#NAME?</v>
      </c>
    </row>
    <row r="453" spans="4:6" x14ac:dyDescent="0.25">
      <c r="D453">
        <f t="shared" ref="D453:D516" si="7">D452+1</f>
        <v>451</v>
      </c>
      <c r="E453" t="e">
        <f ca="1">RANDOM($B$7)</f>
        <v>#NAME?</v>
      </c>
      <c r="F453" t="e">
        <f ca="1">WEIBULL_INV(E453,$B$4,$B$3)</f>
        <v>#NAME?</v>
      </c>
    </row>
    <row r="454" spans="4:6" x14ac:dyDescent="0.25">
      <c r="D454">
        <f t="shared" si="7"/>
        <v>452</v>
      </c>
      <c r="E454" t="e">
        <f ca="1">RANDOM($B$7)</f>
        <v>#NAME?</v>
      </c>
      <c r="F454" t="e">
        <f ca="1">WEIBULL_INV(E454,$B$4,$B$3)</f>
        <v>#NAME?</v>
      </c>
    </row>
    <row r="455" spans="4:6" x14ac:dyDescent="0.25">
      <c r="D455">
        <f t="shared" si="7"/>
        <v>453</v>
      </c>
      <c r="E455" t="e">
        <f ca="1">RANDOM($B$7)</f>
        <v>#NAME?</v>
      </c>
      <c r="F455" t="e">
        <f ca="1">WEIBULL_INV(E455,$B$4,$B$3)</f>
        <v>#NAME?</v>
      </c>
    </row>
    <row r="456" spans="4:6" x14ac:dyDescent="0.25">
      <c r="D456">
        <f t="shared" si="7"/>
        <v>454</v>
      </c>
      <c r="E456" t="e">
        <f ca="1">RANDOM($B$7)</f>
        <v>#NAME?</v>
      </c>
      <c r="F456" t="e">
        <f ca="1">WEIBULL_INV(E456,$B$4,$B$3)</f>
        <v>#NAME?</v>
      </c>
    </row>
    <row r="457" spans="4:6" x14ac:dyDescent="0.25">
      <c r="D457">
        <f t="shared" si="7"/>
        <v>455</v>
      </c>
      <c r="E457" t="e">
        <f ca="1">RANDOM($B$7)</f>
        <v>#NAME?</v>
      </c>
      <c r="F457" t="e">
        <f ca="1">WEIBULL_INV(E457,$B$4,$B$3)</f>
        <v>#NAME?</v>
      </c>
    </row>
    <row r="458" spans="4:6" x14ac:dyDescent="0.25">
      <c r="D458">
        <f t="shared" si="7"/>
        <v>456</v>
      </c>
      <c r="E458" t="e">
        <f ca="1">RANDOM($B$7)</f>
        <v>#NAME?</v>
      </c>
      <c r="F458" t="e">
        <f ca="1">WEIBULL_INV(E458,$B$4,$B$3)</f>
        <v>#NAME?</v>
      </c>
    </row>
    <row r="459" spans="4:6" x14ac:dyDescent="0.25">
      <c r="D459">
        <f t="shared" si="7"/>
        <v>457</v>
      </c>
      <c r="E459" t="e">
        <f ca="1">RANDOM($B$7)</f>
        <v>#NAME?</v>
      </c>
      <c r="F459" t="e">
        <f ca="1">WEIBULL_INV(E459,$B$4,$B$3)</f>
        <v>#NAME?</v>
      </c>
    </row>
    <row r="460" spans="4:6" x14ac:dyDescent="0.25">
      <c r="D460">
        <f t="shared" si="7"/>
        <v>458</v>
      </c>
      <c r="E460" t="e">
        <f ca="1">RANDOM($B$7)</f>
        <v>#NAME?</v>
      </c>
      <c r="F460" t="e">
        <f ca="1">WEIBULL_INV(E460,$B$4,$B$3)</f>
        <v>#NAME?</v>
      </c>
    </row>
    <row r="461" spans="4:6" x14ac:dyDescent="0.25">
      <c r="D461">
        <f t="shared" si="7"/>
        <v>459</v>
      </c>
      <c r="E461" t="e">
        <f ca="1">RANDOM($B$7)</f>
        <v>#NAME?</v>
      </c>
      <c r="F461" t="e">
        <f ca="1">WEIBULL_INV(E461,$B$4,$B$3)</f>
        <v>#NAME?</v>
      </c>
    </row>
    <row r="462" spans="4:6" x14ac:dyDescent="0.25">
      <c r="D462">
        <f t="shared" si="7"/>
        <v>460</v>
      </c>
      <c r="E462" t="e">
        <f ca="1">RANDOM($B$7)</f>
        <v>#NAME?</v>
      </c>
      <c r="F462" t="e">
        <f ca="1">WEIBULL_INV(E462,$B$4,$B$3)</f>
        <v>#NAME?</v>
      </c>
    </row>
    <row r="463" spans="4:6" x14ac:dyDescent="0.25">
      <c r="D463">
        <f t="shared" si="7"/>
        <v>461</v>
      </c>
      <c r="E463" t="e">
        <f ca="1">RANDOM($B$7)</f>
        <v>#NAME?</v>
      </c>
      <c r="F463" t="e">
        <f ca="1">WEIBULL_INV(E463,$B$4,$B$3)</f>
        <v>#NAME?</v>
      </c>
    </row>
    <row r="464" spans="4:6" x14ac:dyDescent="0.25">
      <c r="D464">
        <f t="shared" si="7"/>
        <v>462</v>
      </c>
      <c r="E464" t="e">
        <f ca="1">RANDOM($B$7)</f>
        <v>#NAME?</v>
      </c>
      <c r="F464" t="e">
        <f ca="1">WEIBULL_INV(E464,$B$4,$B$3)</f>
        <v>#NAME?</v>
      </c>
    </row>
    <row r="465" spans="4:6" x14ac:dyDescent="0.25">
      <c r="D465">
        <f t="shared" si="7"/>
        <v>463</v>
      </c>
      <c r="E465" t="e">
        <f ca="1">RANDOM($B$7)</f>
        <v>#NAME?</v>
      </c>
      <c r="F465" t="e">
        <f ca="1">WEIBULL_INV(E465,$B$4,$B$3)</f>
        <v>#NAME?</v>
      </c>
    </row>
    <row r="466" spans="4:6" x14ac:dyDescent="0.25">
      <c r="D466">
        <f t="shared" si="7"/>
        <v>464</v>
      </c>
      <c r="E466" t="e">
        <f ca="1">RANDOM($B$7)</f>
        <v>#NAME?</v>
      </c>
      <c r="F466" t="e">
        <f ca="1">WEIBULL_INV(E466,$B$4,$B$3)</f>
        <v>#NAME?</v>
      </c>
    </row>
    <row r="467" spans="4:6" x14ac:dyDescent="0.25">
      <c r="D467">
        <f t="shared" si="7"/>
        <v>465</v>
      </c>
      <c r="E467" t="e">
        <f ca="1">RANDOM($B$7)</f>
        <v>#NAME?</v>
      </c>
      <c r="F467" t="e">
        <f ca="1">WEIBULL_INV(E467,$B$4,$B$3)</f>
        <v>#NAME?</v>
      </c>
    </row>
    <row r="468" spans="4:6" x14ac:dyDescent="0.25">
      <c r="D468">
        <f t="shared" si="7"/>
        <v>466</v>
      </c>
      <c r="E468" t="e">
        <f ca="1">RANDOM($B$7)</f>
        <v>#NAME?</v>
      </c>
      <c r="F468" t="e">
        <f ca="1">WEIBULL_INV(E468,$B$4,$B$3)</f>
        <v>#NAME?</v>
      </c>
    </row>
    <row r="469" spans="4:6" x14ac:dyDescent="0.25">
      <c r="D469">
        <f t="shared" si="7"/>
        <v>467</v>
      </c>
      <c r="E469" t="e">
        <f ca="1">RANDOM($B$7)</f>
        <v>#NAME?</v>
      </c>
      <c r="F469" t="e">
        <f ca="1">WEIBULL_INV(E469,$B$4,$B$3)</f>
        <v>#NAME?</v>
      </c>
    </row>
    <row r="470" spans="4:6" x14ac:dyDescent="0.25">
      <c r="D470">
        <f t="shared" si="7"/>
        <v>468</v>
      </c>
      <c r="E470" t="e">
        <f ca="1">RANDOM($B$7)</f>
        <v>#NAME?</v>
      </c>
      <c r="F470" t="e">
        <f ca="1">WEIBULL_INV(E470,$B$4,$B$3)</f>
        <v>#NAME?</v>
      </c>
    </row>
    <row r="471" spans="4:6" x14ac:dyDescent="0.25">
      <c r="D471">
        <f t="shared" si="7"/>
        <v>469</v>
      </c>
      <c r="E471" t="e">
        <f ca="1">RANDOM($B$7)</f>
        <v>#NAME?</v>
      </c>
      <c r="F471" t="e">
        <f ca="1">WEIBULL_INV(E471,$B$4,$B$3)</f>
        <v>#NAME?</v>
      </c>
    </row>
    <row r="472" spans="4:6" x14ac:dyDescent="0.25">
      <c r="D472">
        <f t="shared" si="7"/>
        <v>470</v>
      </c>
      <c r="E472" t="e">
        <f ca="1">RANDOM($B$7)</f>
        <v>#NAME?</v>
      </c>
      <c r="F472" t="e">
        <f ca="1">WEIBULL_INV(E472,$B$4,$B$3)</f>
        <v>#NAME?</v>
      </c>
    </row>
    <row r="473" spans="4:6" x14ac:dyDescent="0.25">
      <c r="D473">
        <f t="shared" si="7"/>
        <v>471</v>
      </c>
      <c r="E473" t="e">
        <f ca="1">RANDOM($B$7)</f>
        <v>#NAME?</v>
      </c>
      <c r="F473" t="e">
        <f ca="1">WEIBULL_INV(E473,$B$4,$B$3)</f>
        <v>#NAME?</v>
      </c>
    </row>
    <row r="474" spans="4:6" x14ac:dyDescent="0.25">
      <c r="D474">
        <f t="shared" si="7"/>
        <v>472</v>
      </c>
      <c r="E474" t="e">
        <f ca="1">RANDOM($B$7)</f>
        <v>#NAME?</v>
      </c>
      <c r="F474" t="e">
        <f ca="1">WEIBULL_INV(E474,$B$4,$B$3)</f>
        <v>#NAME?</v>
      </c>
    </row>
    <row r="475" spans="4:6" x14ac:dyDescent="0.25">
      <c r="D475">
        <f t="shared" si="7"/>
        <v>473</v>
      </c>
      <c r="E475" t="e">
        <f ca="1">RANDOM($B$7)</f>
        <v>#NAME?</v>
      </c>
      <c r="F475" t="e">
        <f ca="1">WEIBULL_INV(E475,$B$4,$B$3)</f>
        <v>#NAME?</v>
      </c>
    </row>
    <row r="476" spans="4:6" x14ac:dyDescent="0.25">
      <c r="D476">
        <f t="shared" si="7"/>
        <v>474</v>
      </c>
      <c r="E476" t="e">
        <f ca="1">RANDOM($B$7)</f>
        <v>#NAME?</v>
      </c>
      <c r="F476" t="e">
        <f ca="1">WEIBULL_INV(E476,$B$4,$B$3)</f>
        <v>#NAME?</v>
      </c>
    </row>
    <row r="477" spans="4:6" x14ac:dyDescent="0.25">
      <c r="D477">
        <f t="shared" si="7"/>
        <v>475</v>
      </c>
      <c r="E477" t="e">
        <f ca="1">RANDOM($B$7)</f>
        <v>#NAME?</v>
      </c>
      <c r="F477" t="e">
        <f ca="1">WEIBULL_INV(E477,$B$4,$B$3)</f>
        <v>#NAME?</v>
      </c>
    </row>
    <row r="478" spans="4:6" x14ac:dyDescent="0.25">
      <c r="D478">
        <f t="shared" si="7"/>
        <v>476</v>
      </c>
      <c r="E478" t="e">
        <f ca="1">RANDOM($B$7)</f>
        <v>#NAME?</v>
      </c>
      <c r="F478" t="e">
        <f ca="1">WEIBULL_INV(E478,$B$4,$B$3)</f>
        <v>#NAME?</v>
      </c>
    </row>
    <row r="479" spans="4:6" x14ac:dyDescent="0.25">
      <c r="D479">
        <f t="shared" si="7"/>
        <v>477</v>
      </c>
      <c r="E479" t="e">
        <f ca="1">RANDOM($B$7)</f>
        <v>#NAME?</v>
      </c>
      <c r="F479" t="e">
        <f ca="1">WEIBULL_INV(E479,$B$4,$B$3)</f>
        <v>#NAME?</v>
      </c>
    </row>
    <row r="480" spans="4:6" x14ac:dyDescent="0.25">
      <c r="D480">
        <f t="shared" si="7"/>
        <v>478</v>
      </c>
      <c r="E480" t="e">
        <f ca="1">RANDOM($B$7)</f>
        <v>#NAME?</v>
      </c>
      <c r="F480" t="e">
        <f ca="1">WEIBULL_INV(E480,$B$4,$B$3)</f>
        <v>#NAME?</v>
      </c>
    </row>
    <row r="481" spans="4:6" x14ac:dyDescent="0.25">
      <c r="D481">
        <f t="shared" si="7"/>
        <v>479</v>
      </c>
      <c r="E481" t="e">
        <f ca="1">RANDOM($B$7)</f>
        <v>#NAME?</v>
      </c>
      <c r="F481" t="e">
        <f ca="1">WEIBULL_INV(E481,$B$4,$B$3)</f>
        <v>#NAME?</v>
      </c>
    </row>
    <row r="482" spans="4:6" x14ac:dyDescent="0.25">
      <c r="D482">
        <f t="shared" si="7"/>
        <v>480</v>
      </c>
      <c r="E482" t="e">
        <f ca="1">RANDOM($B$7)</f>
        <v>#NAME?</v>
      </c>
      <c r="F482" t="e">
        <f ca="1">WEIBULL_INV(E482,$B$4,$B$3)</f>
        <v>#NAME?</v>
      </c>
    </row>
    <row r="483" spans="4:6" x14ac:dyDescent="0.25">
      <c r="D483">
        <f t="shared" si="7"/>
        <v>481</v>
      </c>
      <c r="E483" t="e">
        <f ca="1">RANDOM($B$7)</f>
        <v>#NAME?</v>
      </c>
      <c r="F483" t="e">
        <f ca="1">WEIBULL_INV(E483,$B$4,$B$3)</f>
        <v>#NAME?</v>
      </c>
    </row>
    <row r="484" spans="4:6" x14ac:dyDescent="0.25">
      <c r="D484">
        <f t="shared" si="7"/>
        <v>482</v>
      </c>
      <c r="E484" t="e">
        <f ca="1">RANDOM($B$7)</f>
        <v>#NAME?</v>
      </c>
      <c r="F484" t="e">
        <f ca="1">WEIBULL_INV(E484,$B$4,$B$3)</f>
        <v>#NAME?</v>
      </c>
    </row>
    <row r="485" spans="4:6" x14ac:dyDescent="0.25">
      <c r="D485">
        <f t="shared" si="7"/>
        <v>483</v>
      </c>
      <c r="E485" t="e">
        <f ca="1">RANDOM($B$7)</f>
        <v>#NAME?</v>
      </c>
      <c r="F485" t="e">
        <f ca="1">WEIBULL_INV(E485,$B$4,$B$3)</f>
        <v>#NAME?</v>
      </c>
    </row>
    <row r="486" spans="4:6" x14ac:dyDescent="0.25">
      <c r="D486">
        <f t="shared" si="7"/>
        <v>484</v>
      </c>
      <c r="E486" t="e">
        <f ca="1">RANDOM($B$7)</f>
        <v>#NAME?</v>
      </c>
      <c r="F486" t="e">
        <f ca="1">WEIBULL_INV(E486,$B$4,$B$3)</f>
        <v>#NAME?</v>
      </c>
    </row>
    <row r="487" spans="4:6" x14ac:dyDescent="0.25">
      <c r="D487">
        <f t="shared" si="7"/>
        <v>485</v>
      </c>
      <c r="E487" t="e">
        <f ca="1">RANDOM($B$7)</f>
        <v>#NAME?</v>
      </c>
      <c r="F487" t="e">
        <f ca="1">WEIBULL_INV(E487,$B$4,$B$3)</f>
        <v>#NAME?</v>
      </c>
    </row>
    <row r="488" spans="4:6" x14ac:dyDescent="0.25">
      <c r="D488">
        <f t="shared" si="7"/>
        <v>486</v>
      </c>
      <c r="E488" t="e">
        <f ca="1">RANDOM($B$7)</f>
        <v>#NAME?</v>
      </c>
      <c r="F488" t="e">
        <f ca="1">WEIBULL_INV(E488,$B$4,$B$3)</f>
        <v>#NAME?</v>
      </c>
    </row>
    <row r="489" spans="4:6" x14ac:dyDescent="0.25">
      <c r="D489">
        <f t="shared" si="7"/>
        <v>487</v>
      </c>
      <c r="E489" t="e">
        <f ca="1">RANDOM($B$7)</f>
        <v>#NAME?</v>
      </c>
      <c r="F489" t="e">
        <f ca="1">WEIBULL_INV(E489,$B$4,$B$3)</f>
        <v>#NAME?</v>
      </c>
    </row>
    <row r="490" spans="4:6" x14ac:dyDescent="0.25">
      <c r="D490">
        <f t="shared" si="7"/>
        <v>488</v>
      </c>
      <c r="E490" t="e">
        <f ca="1">RANDOM($B$7)</f>
        <v>#NAME?</v>
      </c>
      <c r="F490" t="e">
        <f ca="1">WEIBULL_INV(E490,$B$4,$B$3)</f>
        <v>#NAME?</v>
      </c>
    </row>
    <row r="491" spans="4:6" x14ac:dyDescent="0.25">
      <c r="D491">
        <f t="shared" si="7"/>
        <v>489</v>
      </c>
      <c r="E491" t="e">
        <f ca="1">RANDOM($B$7)</f>
        <v>#NAME?</v>
      </c>
      <c r="F491" t="e">
        <f ca="1">WEIBULL_INV(E491,$B$4,$B$3)</f>
        <v>#NAME?</v>
      </c>
    </row>
    <row r="492" spans="4:6" x14ac:dyDescent="0.25">
      <c r="D492">
        <f t="shared" si="7"/>
        <v>490</v>
      </c>
      <c r="E492" t="e">
        <f ca="1">RANDOM($B$7)</f>
        <v>#NAME?</v>
      </c>
      <c r="F492" t="e">
        <f ca="1">WEIBULL_INV(E492,$B$4,$B$3)</f>
        <v>#NAME?</v>
      </c>
    </row>
    <row r="493" spans="4:6" x14ac:dyDescent="0.25">
      <c r="D493">
        <f t="shared" si="7"/>
        <v>491</v>
      </c>
      <c r="E493" t="e">
        <f ca="1">RANDOM($B$7)</f>
        <v>#NAME?</v>
      </c>
      <c r="F493" t="e">
        <f ca="1">WEIBULL_INV(E493,$B$4,$B$3)</f>
        <v>#NAME?</v>
      </c>
    </row>
    <row r="494" spans="4:6" x14ac:dyDescent="0.25">
      <c r="D494">
        <f t="shared" si="7"/>
        <v>492</v>
      </c>
      <c r="E494" t="e">
        <f ca="1">RANDOM($B$7)</f>
        <v>#NAME?</v>
      </c>
      <c r="F494" t="e">
        <f ca="1">WEIBULL_INV(E494,$B$4,$B$3)</f>
        <v>#NAME?</v>
      </c>
    </row>
    <row r="495" spans="4:6" x14ac:dyDescent="0.25">
      <c r="D495">
        <f t="shared" si="7"/>
        <v>493</v>
      </c>
      <c r="E495" t="e">
        <f ca="1">RANDOM($B$7)</f>
        <v>#NAME?</v>
      </c>
      <c r="F495" t="e">
        <f ca="1">WEIBULL_INV(E495,$B$4,$B$3)</f>
        <v>#NAME?</v>
      </c>
    </row>
    <row r="496" spans="4:6" x14ac:dyDescent="0.25">
      <c r="D496">
        <f t="shared" si="7"/>
        <v>494</v>
      </c>
      <c r="E496" t="e">
        <f ca="1">RANDOM($B$7)</f>
        <v>#NAME?</v>
      </c>
      <c r="F496" t="e">
        <f ca="1">WEIBULL_INV(E496,$B$4,$B$3)</f>
        <v>#NAME?</v>
      </c>
    </row>
    <row r="497" spans="4:6" x14ac:dyDescent="0.25">
      <c r="D497">
        <f t="shared" si="7"/>
        <v>495</v>
      </c>
      <c r="E497" t="e">
        <f ca="1">RANDOM($B$7)</f>
        <v>#NAME?</v>
      </c>
      <c r="F497" t="e">
        <f ca="1">WEIBULL_INV(E497,$B$4,$B$3)</f>
        <v>#NAME?</v>
      </c>
    </row>
    <row r="498" spans="4:6" x14ac:dyDescent="0.25">
      <c r="D498">
        <f t="shared" si="7"/>
        <v>496</v>
      </c>
      <c r="E498" t="e">
        <f ca="1">RANDOM($B$7)</f>
        <v>#NAME?</v>
      </c>
      <c r="F498" t="e">
        <f ca="1">WEIBULL_INV(E498,$B$4,$B$3)</f>
        <v>#NAME?</v>
      </c>
    </row>
    <row r="499" spans="4:6" x14ac:dyDescent="0.25">
      <c r="D499">
        <f t="shared" si="7"/>
        <v>497</v>
      </c>
      <c r="E499" t="e">
        <f ca="1">RANDOM($B$7)</f>
        <v>#NAME?</v>
      </c>
      <c r="F499" t="e">
        <f ca="1">WEIBULL_INV(E499,$B$4,$B$3)</f>
        <v>#NAME?</v>
      </c>
    </row>
    <row r="500" spans="4:6" x14ac:dyDescent="0.25">
      <c r="D500">
        <f t="shared" si="7"/>
        <v>498</v>
      </c>
      <c r="E500" t="e">
        <f ca="1">RANDOM($B$7)</f>
        <v>#NAME?</v>
      </c>
      <c r="F500" t="e">
        <f ca="1">WEIBULL_INV(E500,$B$4,$B$3)</f>
        <v>#NAME?</v>
      </c>
    </row>
    <row r="501" spans="4:6" x14ac:dyDescent="0.25">
      <c r="D501">
        <f t="shared" si="7"/>
        <v>499</v>
      </c>
      <c r="E501" t="e">
        <f ca="1">RANDOM($B$7)</f>
        <v>#NAME?</v>
      </c>
      <c r="F501" t="e">
        <f ca="1">WEIBULL_INV(E501,$B$4,$B$3)</f>
        <v>#NAME?</v>
      </c>
    </row>
    <row r="502" spans="4:6" x14ac:dyDescent="0.25">
      <c r="D502">
        <f t="shared" si="7"/>
        <v>500</v>
      </c>
      <c r="E502" t="e">
        <f ca="1">RANDOM($B$7)</f>
        <v>#NAME?</v>
      </c>
      <c r="F502" t="e">
        <f ca="1">WEIBULL_INV(E502,$B$4,$B$3)</f>
        <v>#NAME?</v>
      </c>
    </row>
    <row r="503" spans="4:6" x14ac:dyDescent="0.25">
      <c r="D503">
        <f t="shared" si="7"/>
        <v>501</v>
      </c>
      <c r="E503" t="e">
        <f ca="1">RANDOM($B$7)</f>
        <v>#NAME?</v>
      </c>
      <c r="F503" t="e">
        <f ca="1">WEIBULL_INV(E503,$B$4,$B$3)</f>
        <v>#NAME?</v>
      </c>
    </row>
    <row r="504" spans="4:6" x14ac:dyDescent="0.25">
      <c r="D504">
        <f t="shared" si="7"/>
        <v>502</v>
      </c>
      <c r="E504" t="e">
        <f ca="1">RANDOM($B$7)</f>
        <v>#NAME?</v>
      </c>
      <c r="F504" t="e">
        <f ca="1">WEIBULL_INV(E504,$B$4,$B$3)</f>
        <v>#NAME?</v>
      </c>
    </row>
    <row r="505" spans="4:6" x14ac:dyDescent="0.25">
      <c r="D505">
        <f t="shared" si="7"/>
        <v>503</v>
      </c>
      <c r="E505" t="e">
        <f ca="1">RANDOM($B$7)</f>
        <v>#NAME?</v>
      </c>
      <c r="F505" t="e">
        <f ca="1">WEIBULL_INV(E505,$B$4,$B$3)</f>
        <v>#NAME?</v>
      </c>
    </row>
    <row r="506" spans="4:6" x14ac:dyDescent="0.25">
      <c r="D506">
        <f t="shared" si="7"/>
        <v>504</v>
      </c>
      <c r="E506" t="e">
        <f ca="1">RANDOM($B$7)</f>
        <v>#NAME?</v>
      </c>
      <c r="F506" t="e">
        <f ca="1">WEIBULL_INV(E506,$B$4,$B$3)</f>
        <v>#NAME?</v>
      </c>
    </row>
    <row r="507" spans="4:6" x14ac:dyDescent="0.25">
      <c r="D507">
        <f t="shared" si="7"/>
        <v>505</v>
      </c>
      <c r="E507" t="e">
        <f ca="1">RANDOM($B$7)</f>
        <v>#NAME?</v>
      </c>
      <c r="F507" t="e">
        <f ca="1">WEIBULL_INV(E507,$B$4,$B$3)</f>
        <v>#NAME?</v>
      </c>
    </row>
    <row r="508" spans="4:6" x14ac:dyDescent="0.25">
      <c r="D508">
        <f t="shared" si="7"/>
        <v>506</v>
      </c>
      <c r="E508" t="e">
        <f ca="1">RANDOM($B$7)</f>
        <v>#NAME?</v>
      </c>
      <c r="F508" t="e">
        <f ca="1">WEIBULL_INV(E508,$B$4,$B$3)</f>
        <v>#NAME?</v>
      </c>
    </row>
    <row r="509" spans="4:6" x14ac:dyDescent="0.25">
      <c r="D509">
        <f t="shared" si="7"/>
        <v>507</v>
      </c>
      <c r="E509" t="e">
        <f ca="1">RANDOM($B$7)</f>
        <v>#NAME?</v>
      </c>
      <c r="F509" t="e">
        <f ca="1">WEIBULL_INV(E509,$B$4,$B$3)</f>
        <v>#NAME?</v>
      </c>
    </row>
    <row r="510" spans="4:6" x14ac:dyDescent="0.25">
      <c r="D510">
        <f t="shared" si="7"/>
        <v>508</v>
      </c>
      <c r="E510" t="e">
        <f ca="1">RANDOM($B$7)</f>
        <v>#NAME?</v>
      </c>
      <c r="F510" t="e">
        <f ca="1">WEIBULL_INV(E510,$B$4,$B$3)</f>
        <v>#NAME?</v>
      </c>
    </row>
    <row r="511" spans="4:6" x14ac:dyDescent="0.25">
      <c r="D511">
        <f t="shared" si="7"/>
        <v>509</v>
      </c>
      <c r="E511" t="e">
        <f ca="1">RANDOM($B$7)</f>
        <v>#NAME?</v>
      </c>
      <c r="F511" t="e">
        <f ca="1">WEIBULL_INV(E511,$B$4,$B$3)</f>
        <v>#NAME?</v>
      </c>
    </row>
    <row r="512" spans="4:6" x14ac:dyDescent="0.25">
      <c r="D512">
        <f t="shared" si="7"/>
        <v>510</v>
      </c>
      <c r="E512" t="e">
        <f ca="1">RANDOM($B$7)</f>
        <v>#NAME?</v>
      </c>
      <c r="F512" t="e">
        <f ca="1">WEIBULL_INV(E512,$B$4,$B$3)</f>
        <v>#NAME?</v>
      </c>
    </row>
    <row r="513" spans="4:6" x14ac:dyDescent="0.25">
      <c r="D513">
        <f t="shared" si="7"/>
        <v>511</v>
      </c>
      <c r="E513" t="e">
        <f ca="1">RANDOM($B$7)</f>
        <v>#NAME?</v>
      </c>
      <c r="F513" t="e">
        <f ca="1">WEIBULL_INV(E513,$B$4,$B$3)</f>
        <v>#NAME?</v>
      </c>
    </row>
    <row r="514" spans="4:6" x14ac:dyDescent="0.25">
      <c r="D514">
        <f t="shared" si="7"/>
        <v>512</v>
      </c>
      <c r="E514" t="e">
        <f ca="1">RANDOM($B$7)</f>
        <v>#NAME?</v>
      </c>
      <c r="F514" t="e">
        <f ca="1">WEIBULL_INV(E514,$B$4,$B$3)</f>
        <v>#NAME?</v>
      </c>
    </row>
    <row r="515" spans="4:6" x14ac:dyDescent="0.25">
      <c r="D515">
        <f t="shared" si="7"/>
        <v>513</v>
      </c>
      <c r="E515" t="e">
        <f ca="1">RANDOM($B$7)</f>
        <v>#NAME?</v>
      </c>
      <c r="F515" t="e">
        <f ca="1">WEIBULL_INV(E515,$B$4,$B$3)</f>
        <v>#NAME?</v>
      </c>
    </row>
    <row r="516" spans="4:6" x14ac:dyDescent="0.25">
      <c r="D516">
        <f t="shared" si="7"/>
        <v>514</v>
      </c>
      <c r="E516" t="e">
        <f ca="1">RANDOM($B$7)</f>
        <v>#NAME?</v>
      </c>
      <c r="F516" t="e">
        <f ca="1">WEIBULL_INV(E516,$B$4,$B$3)</f>
        <v>#NAME?</v>
      </c>
    </row>
    <row r="517" spans="4:6" x14ac:dyDescent="0.25">
      <c r="D517">
        <f t="shared" ref="D517:D580" si="8">D516+1</f>
        <v>515</v>
      </c>
      <c r="E517" t="e">
        <f ca="1">RANDOM($B$7)</f>
        <v>#NAME?</v>
      </c>
      <c r="F517" t="e">
        <f ca="1">WEIBULL_INV(E517,$B$4,$B$3)</f>
        <v>#NAME?</v>
      </c>
    </row>
    <row r="518" spans="4:6" x14ac:dyDescent="0.25">
      <c r="D518">
        <f t="shared" si="8"/>
        <v>516</v>
      </c>
      <c r="E518" t="e">
        <f ca="1">RANDOM($B$7)</f>
        <v>#NAME?</v>
      </c>
      <c r="F518" t="e">
        <f ca="1">WEIBULL_INV(E518,$B$4,$B$3)</f>
        <v>#NAME?</v>
      </c>
    </row>
    <row r="519" spans="4:6" x14ac:dyDescent="0.25">
      <c r="D519">
        <f t="shared" si="8"/>
        <v>517</v>
      </c>
      <c r="E519" t="e">
        <f ca="1">RANDOM($B$7)</f>
        <v>#NAME?</v>
      </c>
      <c r="F519" t="e">
        <f ca="1">WEIBULL_INV(E519,$B$4,$B$3)</f>
        <v>#NAME?</v>
      </c>
    </row>
    <row r="520" spans="4:6" x14ac:dyDescent="0.25">
      <c r="D520">
        <f t="shared" si="8"/>
        <v>518</v>
      </c>
      <c r="E520" t="e">
        <f ca="1">RANDOM($B$7)</f>
        <v>#NAME?</v>
      </c>
      <c r="F520" t="e">
        <f ca="1">WEIBULL_INV(E520,$B$4,$B$3)</f>
        <v>#NAME?</v>
      </c>
    </row>
    <row r="521" spans="4:6" x14ac:dyDescent="0.25">
      <c r="D521">
        <f t="shared" si="8"/>
        <v>519</v>
      </c>
      <c r="E521" t="e">
        <f ca="1">RANDOM($B$7)</f>
        <v>#NAME?</v>
      </c>
      <c r="F521" t="e">
        <f ca="1">WEIBULL_INV(E521,$B$4,$B$3)</f>
        <v>#NAME?</v>
      </c>
    </row>
    <row r="522" spans="4:6" x14ac:dyDescent="0.25">
      <c r="D522">
        <f t="shared" si="8"/>
        <v>520</v>
      </c>
      <c r="E522" t="e">
        <f ca="1">RANDOM($B$7)</f>
        <v>#NAME?</v>
      </c>
      <c r="F522" t="e">
        <f ca="1">WEIBULL_INV(E522,$B$4,$B$3)</f>
        <v>#NAME?</v>
      </c>
    </row>
    <row r="523" spans="4:6" x14ac:dyDescent="0.25">
      <c r="D523">
        <f t="shared" si="8"/>
        <v>521</v>
      </c>
      <c r="E523" t="e">
        <f ca="1">RANDOM($B$7)</f>
        <v>#NAME?</v>
      </c>
      <c r="F523" t="e">
        <f ca="1">WEIBULL_INV(E523,$B$4,$B$3)</f>
        <v>#NAME?</v>
      </c>
    </row>
    <row r="524" spans="4:6" x14ac:dyDescent="0.25">
      <c r="D524">
        <f t="shared" si="8"/>
        <v>522</v>
      </c>
      <c r="E524" t="e">
        <f ca="1">RANDOM($B$7)</f>
        <v>#NAME?</v>
      </c>
      <c r="F524" t="e">
        <f ca="1">WEIBULL_INV(E524,$B$4,$B$3)</f>
        <v>#NAME?</v>
      </c>
    </row>
    <row r="525" spans="4:6" x14ac:dyDescent="0.25">
      <c r="D525">
        <f t="shared" si="8"/>
        <v>523</v>
      </c>
      <c r="E525" t="e">
        <f ca="1">RANDOM($B$7)</f>
        <v>#NAME?</v>
      </c>
      <c r="F525" t="e">
        <f ca="1">WEIBULL_INV(E525,$B$4,$B$3)</f>
        <v>#NAME?</v>
      </c>
    </row>
    <row r="526" spans="4:6" x14ac:dyDescent="0.25">
      <c r="D526">
        <f t="shared" si="8"/>
        <v>524</v>
      </c>
      <c r="E526" t="e">
        <f ca="1">RANDOM($B$7)</f>
        <v>#NAME?</v>
      </c>
      <c r="F526" t="e">
        <f ca="1">WEIBULL_INV(E526,$B$4,$B$3)</f>
        <v>#NAME?</v>
      </c>
    </row>
    <row r="527" spans="4:6" x14ac:dyDescent="0.25">
      <c r="D527">
        <f t="shared" si="8"/>
        <v>525</v>
      </c>
      <c r="E527" t="e">
        <f ca="1">RANDOM($B$7)</f>
        <v>#NAME?</v>
      </c>
      <c r="F527" t="e">
        <f ca="1">WEIBULL_INV(E527,$B$4,$B$3)</f>
        <v>#NAME?</v>
      </c>
    </row>
    <row r="528" spans="4:6" x14ac:dyDescent="0.25">
      <c r="D528">
        <f t="shared" si="8"/>
        <v>526</v>
      </c>
      <c r="E528" t="e">
        <f ca="1">RANDOM($B$7)</f>
        <v>#NAME?</v>
      </c>
      <c r="F528" t="e">
        <f ca="1">WEIBULL_INV(E528,$B$4,$B$3)</f>
        <v>#NAME?</v>
      </c>
    </row>
    <row r="529" spans="4:6" x14ac:dyDescent="0.25">
      <c r="D529">
        <f t="shared" si="8"/>
        <v>527</v>
      </c>
      <c r="E529" t="e">
        <f ca="1">RANDOM($B$7)</f>
        <v>#NAME?</v>
      </c>
      <c r="F529" t="e">
        <f ca="1">WEIBULL_INV(E529,$B$4,$B$3)</f>
        <v>#NAME?</v>
      </c>
    </row>
    <row r="530" spans="4:6" x14ac:dyDescent="0.25">
      <c r="D530">
        <f t="shared" si="8"/>
        <v>528</v>
      </c>
      <c r="E530" t="e">
        <f ca="1">RANDOM($B$7)</f>
        <v>#NAME?</v>
      </c>
      <c r="F530" t="e">
        <f ca="1">WEIBULL_INV(E530,$B$4,$B$3)</f>
        <v>#NAME?</v>
      </c>
    </row>
    <row r="531" spans="4:6" x14ac:dyDescent="0.25">
      <c r="D531">
        <f t="shared" si="8"/>
        <v>529</v>
      </c>
      <c r="E531" t="e">
        <f ca="1">RANDOM($B$7)</f>
        <v>#NAME?</v>
      </c>
      <c r="F531" t="e">
        <f ca="1">WEIBULL_INV(E531,$B$4,$B$3)</f>
        <v>#NAME?</v>
      </c>
    </row>
    <row r="532" spans="4:6" x14ac:dyDescent="0.25">
      <c r="D532">
        <f t="shared" si="8"/>
        <v>530</v>
      </c>
      <c r="E532" t="e">
        <f ca="1">RANDOM($B$7)</f>
        <v>#NAME?</v>
      </c>
      <c r="F532" t="e">
        <f ca="1">WEIBULL_INV(E532,$B$4,$B$3)</f>
        <v>#NAME?</v>
      </c>
    </row>
    <row r="533" spans="4:6" x14ac:dyDescent="0.25">
      <c r="D533">
        <f t="shared" si="8"/>
        <v>531</v>
      </c>
      <c r="E533" t="e">
        <f ca="1">RANDOM($B$7)</f>
        <v>#NAME?</v>
      </c>
      <c r="F533" t="e">
        <f ca="1">WEIBULL_INV(E533,$B$4,$B$3)</f>
        <v>#NAME?</v>
      </c>
    </row>
    <row r="534" spans="4:6" x14ac:dyDescent="0.25">
      <c r="D534">
        <f t="shared" si="8"/>
        <v>532</v>
      </c>
      <c r="E534" t="e">
        <f ca="1">RANDOM($B$7)</f>
        <v>#NAME?</v>
      </c>
      <c r="F534" t="e">
        <f ca="1">WEIBULL_INV(E534,$B$4,$B$3)</f>
        <v>#NAME?</v>
      </c>
    </row>
    <row r="535" spans="4:6" x14ac:dyDescent="0.25">
      <c r="D535">
        <f t="shared" si="8"/>
        <v>533</v>
      </c>
      <c r="E535" t="e">
        <f ca="1">RANDOM($B$7)</f>
        <v>#NAME?</v>
      </c>
      <c r="F535" t="e">
        <f ca="1">WEIBULL_INV(E535,$B$4,$B$3)</f>
        <v>#NAME?</v>
      </c>
    </row>
    <row r="536" spans="4:6" x14ac:dyDescent="0.25">
      <c r="D536">
        <f t="shared" si="8"/>
        <v>534</v>
      </c>
      <c r="E536" t="e">
        <f ca="1">RANDOM($B$7)</f>
        <v>#NAME?</v>
      </c>
      <c r="F536" t="e">
        <f ca="1">WEIBULL_INV(E536,$B$4,$B$3)</f>
        <v>#NAME?</v>
      </c>
    </row>
    <row r="537" spans="4:6" x14ac:dyDescent="0.25">
      <c r="D537">
        <f t="shared" si="8"/>
        <v>535</v>
      </c>
      <c r="E537" t="e">
        <f ca="1">RANDOM($B$7)</f>
        <v>#NAME?</v>
      </c>
      <c r="F537" t="e">
        <f ca="1">WEIBULL_INV(E537,$B$4,$B$3)</f>
        <v>#NAME?</v>
      </c>
    </row>
    <row r="538" spans="4:6" x14ac:dyDescent="0.25">
      <c r="D538">
        <f t="shared" si="8"/>
        <v>536</v>
      </c>
      <c r="E538" t="e">
        <f ca="1">RANDOM($B$7)</f>
        <v>#NAME?</v>
      </c>
      <c r="F538" t="e">
        <f ca="1">WEIBULL_INV(E538,$B$4,$B$3)</f>
        <v>#NAME?</v>
      </c>
    </row>
    <row r="539" spans="4:6" x14ac:dyDescent="0.25">
      <c r="D539">
        <f t="shared" si="8"/>
        <v>537</v>
      </c>
      <c r="E539" t="e">
        <f ca="1">RANDOM($B$7)</f>
        <v>#NAME?</v>
      </c>
      <c r="F539" t="e">
        <f ca="1">WEIBULL_INV(E539,$B$4,$B$3)</f>
        <v>#NAME?</v>
      </c>
    </row>
    <row r="540" spans="4:6" x14ac:dyDescent="0.25">
      <c r="D540">
        <f t="shared" si="8"/>
        <v>538</v>
      </c>
      <c r="E540" t="e">
        <f ca="1">RANDOM($B$7)</f>
        <v>#NAME?</v>
      </c>
      <c r="F540" t="e">
        <f ca="1">WEIBULL_INV(E540,$B$4,$B$3)</f>
        <v>#NAME?</v>
      </c>
    </row>
    <row r="541" spans="4:6" x14ac:dyDescent="0.25">
      <c r="D541">
        <f t="shared" si="8"/>
        <v>539</v>
      </c>
      <c r="E541" t="e">
        <f ca="1">RANDOM($B$7)</f>
        <v>#NAME?</v>
      </c>
      <c r="F541" t="e">
        <f ca="1">WEIBULL_INV(E541,$B$4,$B$3)</f>
        <v>#NAME?</v>
      </c>
    </row>
    <row r="542" spans="4:6" x14ac:dyDescent="0.25">
      <c r="D542">
        <f t="shared" si="8"/>
        <v>540</v>
      </c>
      <c r="E542" t="e">
        <f ca="1">RANDOM($B$7)</f>
        <v>#NAME?</v>
      </c>
      <c r="F542" t="e">
        <f ca="1">WEIBULL_INV(E542,$B$4,$B$3)</f>
        <v>#NAME?</v>
      </c>
    </row>
    <row r="543" spans="4:6" x14ac:dyDescent="0.25">
      <c r="D543">
        <f t="shared" si="8"/>
        <v>541</v>
      </c>
      <c r="E543" t="e">
        <f ca="1">RANDOM($B$7)</f>
        <v>#NAME?</v>
      </c>
      <c r="F543" t="e">
        <f ca="1">WEIBULL_INV(E543,$B$4,$B$3)</f>
        <v>#NAME?</v>
      </c>
    </row>
    <row r="544" spans="4:6" x14ac:dyDescent="0.25">
      <c r="D544">
        <f t="shared" si="8"/>
        <v>542</v>
      </c>
      <c r="E544" t="e">
        <f ca="1">RANDOM($B$7)</f>
        <v>#NAME?</v>
      </c>
      <c r="F544" t="e">
        <f ca="1">WEIBULL_INV(E544,$B$4,$B$3)</f>
        <v>#NAME?</v>
      </c>
    </row>
    <row r="545" spans="4:6" x14ac:dyDescent="0.25">
      <c r="D545">
        <f t="shared" si="8"/>
        <v>543</v>
      </c>
      <c r="E545" t="e">
        <f ca="1">RANDOM($B$7)</f>
        <v>#NAME?</v>
      </c>
      <c r="F545" t="e">
        <f ca="1">WEIBULL_INV(E545,$B$4,$B$3)</f>
        <v>#NAME?</v>
      </c>
    </row>
    <row r="546" spans="4:6" x14ac:dyDescent="0.25">
      <c r="D546">
        <f t="shared" si="8"/>
        <v>544</v>
      </c>
      <c r="E546" t="e">
        <f ca="1">RANDOM($B$7)</f>
        <v>#NAME?</v>
      </c>
      <c r="F546" t="e">
        <f ca="1">WEIBULL_INV(E546,$B$4,$B$3)</f>
        <v>#NAME?</v>
      </c>
    </row>
    <row r="547" spans="4:6" x14ac:dyDescent="0.25">
      <c r="D547">
        <f t="shared" si="8"/>
        <v>545</v>
      </c>
      <c r="E547" t="e">
        <f ca="1">RANDOM($B$7)</f>
        <v>#NAME?</v>
      </c>
      <c r="F547" t="e">
        <f ca="1">WEIBULL_INV(E547,$B$4,$B$3)</f>
        <v>#NAME?</v>
      </c>
    </row>
    <row r="548" spans="4:6" x14ac:dyDescent="0.25">
      <c r="D548">
        <f t="shared" si="8"/>
        <v>546</v>
      </c>
      <c r="E548" t="e">
        <f ca="1">RANDOM($B$7)</f>
        <v>#NAME?</v>
      </c>
      <c r="F548" t="e">
        <f ca="1">WEIBULL_INV(E548,$B$4,$B$3)</f>
        <v>#NAME?</v>
      </c>
    </row>
    <row r="549" spans="4:6" x14ac:dyDescent="0.25">
      <c r="D549">
        <f t="shared" si="8"/>
        <v>547</v>
      </c>
      <c r="E549" t="e">
        <f ca="1">RANDOM($B$7)</f>
        <v>#NAME?</v>
      </c>
      <c r="F549" t="e">
        <f ca="1">WEIBULL_INV(E549,$B$4,$B$3)</f>
        <v>#NAME?</v>
      </c>
    </row>
    <row r="550" spans="4:6" x14ac:dyDescent="0.25">
      <c r="D550">
        <f t="shared" si="8"/>
        <v>548</v>
      </c>
      <c r="E550" t="e">
        <f ca="1">RANDOM($B$7)</f>
        <v>#NAME?</v>
      </c>
      <c r="F550" t="e">
        <f ca="1">WEIBULL_INV(E550,$B$4,$B$3)</f>
        <v>#NAME?</v>
      </c>
    </row>
    <row r="551" spans="4:6" x14ac:dyDescent="0.25">
      <c r="D551">
        <f t="shared" si="8"/>
        <v>549</v>
      </c>
      <c r="E551" t="e">
        <f ca="1">RANDOM($B$7)</f>
        <v>#NAME?</v>
      </c>
      <c r="F551" t="e">
        <f ca="1">WEIBULL_INV(E551,$B$4,$B$3)</f>
        <v>#NAME?</v>
      </c>
    </row>
    <row r="552" spans="4:6" x14ac:dyDescent="0.25">
      <c r="D552">
        <f t="shared" si="8"/>
        <v>550</v>
      </c>
      <c r="E552" t="e">
        <f ca="1">RANDOM($B$7)</f>
        <v>#NAME?</v>
      </c>
      <c r="F552" t="e">
        <f ca="1">WEIBULL_INV(E552,$B$4,$B$3)</f>
        <v>#NAME?</v>
      </c>
    </row>
    <row r="553" spans="4:6" x14ac:dyDescent="0.25">
      <c r="D553">
        <f t="shared" si="8"/>
        <v>551</v>
      </c>
      <c r="E553" t="e">
        <f ca="1">RANDOM($B$7)</f>
        <v>#NAME?</v>
      </c>
      <c r="F553" t="e">
        <f ca="1">WEIBULL_INV(E553,$B$4,$B$3)</f>
        <v>#NAME?</v>
      </c>
    </row>
    <row r="554" spans="4:6" x14ac:dyDescent="0.25">
      <c r="D554">
        <f t="shared" si="8"/>
        <v>552</v>
      </c>
      <c r="E554" t="e">
        <f ca="1">RANDOM($B$7)</f>
        <v>#NAME?</v>
      </c>
      <c r="F554" t="e">
        <f ca="1">WEIBULL_INV(E554,$B$4,$B$3)</f>
        <v>#NAME?</v>
      </c>
    </row>
    <row r="555" spans="4:6" x14ac:dyDescent="0.25">
      <c r="D555">
        <f t="shared" si="8"/>
        <v>553</v>
      </c>
      <c r="E555" t="e">
        <f ca="1">RANDOM($B$7)</f>
        <v>#NAME?</v>
      </c>
      <c r="F555" t="e">
        <f ca="1">WEIBULL_INV(E555,$B$4,$B$3)</f>
        <v>#NAME?</v>
      </c>
    </row>
    <row r="556" spans="4:6" x14ac:dyDescent="0.25">
      <c r="D556">
        <f t="shared" si="8"/>
        <v>554</v>
      </c>
      <c r="E556" t="e">
        <f ca="1">RANDOM($B$7)</f>
        <v>#NAME?</v>
      </c>
      <c r="F556" t="e">
        <f ca="1">WEIBULL_INV(E556,$B$4,$B$3)</f>
        <v>#NAME?</v>
      </c>
    </row>
    <row r="557" spans="4:6" x14ac:dyDescent="0.25">
      <c r="D557">
        <f t="shared" si="8"/>
        <v>555</v>
      </c>
      <c r="E557" t="e">
        <f ca="1">RANDOM($B$7)</f>
        <v>#NAME?</v>
      </c>
      <c r="F557" t="e">
        <f ca="1">WEIBULL_INV(E557,$B$4,$B$3)</f>
        <v>#NAME?</v>
      </c>
    </row>
    <row r="558" spans="4:6" x14ac:dyDescent="0.25">
      <c r="D558">
        <f t="shared" si="8"/>
        <v>556</v>
      </c>
      <c r="E558" t="e">
        <f ca="1">RANDOM($B$7)</f>
        <v>#NAME?</v>
      </c>
      <c r="F558" t="e">
        <f ca="1">WEIBULL_INV(E558,$B$4,$B$3)</f>
        <v>#NAME?</v>
      </c>
    </row>
    <row r="559" spans="4:6" x14ac:dyDescent="0.25">
      <c r="D559">
        <f t="shared" si="8"/>
        <v>557</v>
      </c>
      <c r="E559" t="e">
        <f ca="1">RANDOM($B$7)</f>
        <v>#NAME?</v>
      </c>
      <c r="F559" t="e">
        <f ca="1">WEIBULL_INV(E559,$B$4,$B$3)</f>
        <v>#NAME?</v>
      </c>
    </row>
    <row r="560" spans="4:6" x14ac:dyDescent="0.25">
      <c r="D560">
        <f t="shared" si="8"/>
        <v>558</v>
      </c>
      <c r="E560" t="e">
        <f ca="1">RANDOM($B$7)</f>
        <v>#NAME?</v>
      </c>
      <c r="F560" t="e">
        <f ca="1">WEIBULL_INV(E560,$B$4,$B$3)</f>
        <v>#NAME?</v>
      </c>
    </row>
    <row r="561" spans="4:6" x14ac:dyDescent="0.25">
      <c r="D561">
        <f t="shared" si="8"/>
        <v>559</v>
      </c>
      <c r="E561" t="e">
        <f ca="1">RANDOM($B$7)</f>
        <v>#NAME?</v>
      </c>
      <c r="F561" t="e">
        <f ca="1">WEIBULL_INV(E561,$B$4,$B$3)</f>
        <v>#NAME?</v>
      </c>
    </row>
    <row r="562" spans="4:6" x14ac:dyDescent="0.25">
      <c r="D562">
        <f t="shared" si="8"/>
        <v>560</v>
      </c>
      <c r="E562" t="e">
        <f ca="1">RANDOM($B$7)</f>
        <v>#NAME?</v>
      </c>
      <c r="F562" t="e">
        <f ca="1">WEIBULL_INV(E562,$B$4,$B$3)</f>
        <v>#NAME?</v>
      </c>
    </row>
    <row r="563" spans="4:6" x14ac:dyDescent="0.25">
      <c r="D563">
        <f t="shared" si="8"/>
        <v>561</v>
      </c>
      <c r="E563" t="e">
        <f ca="1">RANDOM($B$7)</f>
        <v>#NAME?</v>
      </c>
      <c r="F563" t="e">
        <f ca="1">WEIBULL_INV(E563,$B$4,$B$3)</f>
        <v>#NAME?</v>
      </c>
    </row>
    <row r="564" spans="4:6" x14ac:dyDescent="0.25">
      <c r="D564">
        <f t="shared" si="8"/>
        <v>562</v>
      </c>
      <c r="E564" t="e">
        <f ca="1">RANDOM($B$7)</f>
        <v>#NAME?</v>
      </c>
      <c r="F564" t="e">
        <f ca="1">WEIBULL_INV(E564,$B$4,$B$3)</f>
        <v>#NAME?</v>
      </c>
    </row>
    <row r="565" spans="4:6" x14ac:dyDescent="0.25">
      <c r="D565">
        <f t="shared" si="8"/>
        <v>563</v>
      </c>
      <c r="E565" t="e">
        <f ca="1">RANDOM($B$7)</f>
        <v>#NAME?</v>
      </c>
      <c r="F565" t="e">
        <f ca="1">WEIBULL_INV(E565,$B$4,$B$3)</f>
        <v>#NAME?</v>
      </c>
    </row>
    <row r="566" spans="4:6" x14ac:dyDescent="0.25">
      <c r="D566">
        <f t="shared" si="8"/>
        <v>564</v>
      </c>
      <c r="E566" t="e">
        <f ca="1">RANDOM($B$7)</f>
        <v>#NAME?</v>
      </c>
      <c r="F566" t="e">
        <f ca="1">WEIBULL_INV(E566,$B$4,$B$3)</f>
        <v>#NAME?</v>
      </c>
    </row>
    <row r="567" spans="4:6" x14ac:dyDescent="0.25">
      <c r="D567">
        <f t="shared" si="8"/>
        <v>565</v>
      </c>
      <c r="E567" t="e">
        <f ca="1">RANDOM($B$7)</f>
        <v>#NAME?</v>
      </c>
      <c r="F567" t="e">
        <f ca="1">WEIBULL_INV(E567,$B$4,$B$3)</f>
        <v>#NAME?</v>
      </c>
    </row>
    <row r="568" spans="4:6" x14ac:dyDescent="0.25">
      <c r="D568">
        <f t="shared" si="8"/>
        <v>566</v>
      </c>
      <c r="E568" t="e">
        <f ca="1">RANDOM($B$7)</f>
        <v>#NAME?</v>
      </c>
      <c r="F568" t="e">
        <f ca="1">WEIBULL_INV(E568,$B$4,$B$3)</f>
        <v>#NAME?</v>
      </c>
    </row>
    <row r="569" spans="4:6" x14ac:dyDescent="0.25">
      <c r="D569">
        <f t="shared" si="8"/>
        <v>567</v>
      </c>
      <c r="E569" t="e">
        <f ca="1">RANDOM($B$7)</f>
        <v>#NAME?</v>
      </c>
      <c r="F569" t="e">
        <f ca="1">WEIBULL_INV(E569,$B$4,$B$3)</f>
        <v>#NAME?</v>
      </c>
    </row>
    <row r="570" spans="4:6" x14ac:dyDescent="0.25">
      <c r="D570">
        <f t="shared" si="8"/>
        <v>568</v>
      </c>
      <c r="E570" t="e">
        <f ca="1">RANDOM($B$7)</f>
        <v>#NAME?</v>
      </c>
      <c r="F570" t="e">
        <f ca="1">WEIBULL_INV(E570,$B$4,$B$3)</f>
        <v>#NAME?</v>
      </c>
    </row>
    <row r="571" spans="4:6" x14ac:dyDescent="0.25">
      <c r="D571">
        <f t="shared" si="8"/>
        <v>569</v>
      </c>
      <c r="E571" t="e">
        <f ca="1">RANDOM($B$7)</f>
        <v>#NAME?</v>
      </c>
      <c r="F571" t="e">
        <f ca="1">WEIBULL_INV(E571,$B$4,$B$3)</f>
        <v>#NAME?</v>
      </c>
    </row>
    <row r="572" spans="4:6" x14ac:dyDescent="0.25">
      <c r="D572">
        <f t="shared" si="8"/>
        <v>570</v>
      </c>
      <c r="E572" t="e">
        <f ca="1">RANDOM($B$7)</f>
        <v>#NAME?</v>
      </c>
      <c r="F572" t="e">
        <f ca="1">WEIBULL_INV(E572,$B$4,$B$3)</f>
        <v>#NAME?</v>
      </c>
    </row>
    <row r="573" spans="4:6" x14ac:dyDescent="0.25">
      <c r="D573">
        <f t="shared" si="8"/>
        <v>571</v>
      </c>
      <c r="E573" t="e">
        <f ca="1">RANDOM($B$7)</f>
        <v>#NAME?</v>
      </c>
      <c r="F573" t="e">
        <f ca="1">WEIBULL_INV(E573,$B$4,$B$3)</f>
        <v>#NAME?</v>
      </c>
    </row>
    <row r="574" spans="4:6" x14ac:dyDescent="0.25">
      <c r="D574">
        <f t="shared" si="8"/>
        <v>572</v>
      </c>
      <c r="E574" t="e">
        <f ca="1">RANDOM($B$7)</f>
        <v>#NAME?</v>
      </c>
      <c r="F574" t="e">
        <f ca="1">WEIBULL_INV(E574,$B$4,$B$3)</f>
        <v>#NAME?</v>
      </c>
    </row>
    <row r="575" spans="4:6" x14ac:dyDescent="0.25">
      <c r="D575">
        <f t="shared" si="8"/>
        <v>573</v>
      </c>
      <c r="E575" t="e">
        <f ca="1">RANDOM($B$7)</f>
        <v>#NAME?</v>
      </c>
      <c r="F575" t="e">
        <f ca="1">WEIBULL_INV(E575,$B$4,$B$3)</f>
        <v>#NAME?</v>
      </c>
    </row>
    <row r="576" spans="4:6" x14ac:dyDescent="0.25">
      <c r="D576">
        <f t="shared" si="8"/>
        <v>574</v>
      </c>
      <c r="E576" t="e">
        <f ca="1">RANDOM($B$7)</f>
        <v>#NAME?</v>
      </c>
      <c r="F576" t="e">
        <f ca="1">WEIBULL_INV(E576,$B$4,$B$3)</f>
        <v>#NAME?</v>
      </c>
    </row>
    <row r="577" spans="4:6" x14ac:dyDescent="0.25">
      <c r="D577">
        <f t="shared" si="8"/>
        <v>575</v>
      </c>
      <c r="E577" t="e">
        <f ca="1">RANDOM($B$7)</f>
        <v>#NAME?</v>
      </c>
      <c r="F577" t="e">
        <f ca="1">WEIBULL_INV(E577,$B$4,$B$3)</f>
        <v>#NAME?</v>
      </c>
    </row>
    <row r="578" spans="4:6" x14ac:dyDescent="0.25">
      <c r="D578">
        <f t="shared" si="8"/>
        <v>576</v>
      </c>
      <c r="E578" t="e">
        <f ca="1">RANDOM($B$7)</f>
        <v>#NAME?</v>
      </c>
      <c r="F578" t="e">
        <f ca="1">WEIBULL_INV(E578,$B$4,$B$3)</f>
        <v>#NAME?</v>
      </c>
    </row>
    <row r="579" spans="4:6" x14ac:dyDescent="0.25">
      <c r="D579">
        <f t="shared" si="8"/>
        <v>577</v>
      </c>
      <c r="E579" t="e">
        <f ca="1">RANDOM($B$7)</f>
        <v>#NAME?</v>
      </c>
      <c r="F579" t="e">
        <f ca="1">WEIBULL_INV(E579,$B$4,$B$3)</f>
        <v>#NAME?</v>
      </c>
    </row>
    <row r="580" spans="4:6" x14ac:dyDescent="0.25">
      <c r="D580">
        <f t="shared" si="8"/>
        <v>578</v>
      </c>
      <c r="E580" t="e">
        <f ca="1">RANDOM($B$7)</f>
        <v>#NAME?</v>
      </c>
      <c r="F580" t="e">
        <f ca="1">WEIBULL_INV(E580,$B$4,$B$3)</f>
        <v>#NAME?</v>
      </c>
    </row>
    <row r="581" spans="4:6" x14ac:dyDescent="0.25">
      <c r="D581">
        <f t="shared" ref="D581:D644" si="9">D580+1</f>
        <v>579</v>
      </c>
      <c r="E581" t="e">
        <f ca="1">RANDOM($B$7)</f>
        <v>#NAME?</v>
      </c>
      <c r="F581" t="e">
        <f ca="1">WEIBULL_INV(E581,$B$4,$B$3)</f>
        <v>#NAME?</v>
      </c>
    </row>
    <row r="582" spans="4:6" x14ac:dyDescent="0.25">
      <c r="D582">
        <f t="shared" si="9"/>
        <v>580</v>
      </c>
      <c r="E582" t="e">
        <f ca="1">RANDOM($B$7)</f>
        <v>#NAME?</v>
      </c>
      <c r="F582" t="e">
        <f ca="1">WEIBULL_INV(E582,$B$4,$B$3)</f>
        <v>#NAME?</v>
      </c>
    </row>
    <row r="583" spans="4:6" x14ac:dyDescent="0.25">
      <c r="D583">
        <f t="shared" si="9"/>
        <v>581</v>
      </c>
      <c r="E583" t="e">
        <f ca="1">RANDOM($B$7)</f>
        <v>#NAME?</v>
      </c>
      <c r="F583" t="e">
        <f ca="1">WEIBULL_INV(E583,$B$4,$B$3)</f>
        <v>#NAME?</v>
      </c>
    </row>
    <row r="584" spans="4:6" x14ac:dyDescent="0.25">
      <c r="D584">
        <f t="shared" si="9"/>
        <v>582</v>
      </c>
      <c r="E584" t="e">
        <f ca="1">RANDOM($B$7)</f>
        <v>#NAME?</v>
      </c>
      <c r="F584" t="e">
        <f ca="1">WEIBULL_INV(E584,$B$4,$B$3)</f>
        <v>#NAME?</v>
      </c>
    </row>
    <row r="585" spans="4:6" x14ac:dyDescent="0.25">
      <c r="D585">
        <f t="shared" si="9"/>
        <v>583</v>
      </c>
      <c r="E585" t="e">
        <f ca="1">RANDOM($B$7)</f>
        <v>#NAME?</v>
      </c>
      <c r="F585" t="e">
        <f ca="1">WEIBULL_INV(E585,$B$4,$B$3)</f>
        <v>#NAME?</v>
      </c>
    </row>
    <row r="586" spans="4:6" x14ac:dyDescent="0.25">
      <c r="D586">
        <f t="shared" si="9"/>
        <v>584</v>
      </c>
      <c r="E586" t="e">
        <f ca="1">RANDOM($B$7)</f>
        <v>#NAME?</v>
      </c>
      <c r="F586" t="e">
        <f ca="1">WEIBULL_INV(E586,$B$4,$B$3)</f>
        <v>#NAME?</v>
      </c>
    </row>
    <row r="587" spans="4:6" x14ac:dyDescent="0.25">
      <c r="D587">
        <f t="shared" si="9"/>
        <v>585</v>
      </c>
      <c r="E587" t="e">
        <f ca="1">RANDOM($B$7)</f>
        <v>#NAME?</v>
      </c>
      <c r="F587" t="e">
        <f ca="1">WEIBULL_INV(E587,$B$4,$B$3)</f>
        <v>#NAME?</v>
      </c>
    </row>
    <row r="588" spans="4:6" x14ac:dyDescent="0.25">
      <c r="D588">
        <f t="shared" si="9"/>
        <v>586</v>
      </c>
      <c r="E588" t="e">
        <f ca="1">RANDOM($B$7)</f>
        <v>#NAME?</v>
      </c>
      <c r="F588" t="e">
        <f ca="1">WEIBULL_INV(E588,$B$4,$B$3)</f>
        <v>#NAME?</v>
      </c>
    </row>
    <row r="589" spans="4:6" x14ac:dyDescent="0.25">
      <c r="D589">
        <f t="shared" si="9"/>
        <v>587</v>
      </c>
      <c r="E589" t="e">
        <f ca="1">RANDOM($B$7)</f>
        <v>#NAME?</v>
      </c>
      <c r="F589" t="e">
        <f ca="1">WEIBULL_INV(E589,$B$4,$B$3)</f>
        <v>#NAME?</v>
      </c>
    </row>
    <row r="590" spans="4:6" x14ac:dyDescent="0.25">
      <c r="D590">
        <f t="shared" si="9"/>
        <v>588</v>
      </c>
      <c r="E590" t="e">
        <f ca="1">RANDOM($B$7)</f>
        <v>#NAME?</v>
      </c>
      <c r="F590" t="e">
        <f ca="1">WEIBULL_INV(E590,$B$4,$B$3)</f>
        <v>#NAME?</v>
      </c>
    </row>
    <row r="591" spans="4:6" x14ac:dyDescent="0.25">
      <c r="D591">
        <f t="shared" si="9"/>
        <v>589</v>
      </c>
      <c r="E591" t="e">
        <f ca="1">RANDOM($B$7)</f>
        <v>#NAME?</v>
      </c>
      <c r="F591" t="e">
        <f ca="1">WEIBULL_INV(E591,$B$4,$B$3)</f>
        <v>#NAME?</v>
      </c>
    </row>
    <row r="592" spans="4:6" x14ac:dyDescent="0.25">
      <c r="D592">
        <f t="shared" si="9"/>
        <v>590</v>
      </c>
      <c r="E592" t="e">
        <f ca="1">RANDOM($B$7)</f>
        <v>#NAME?</v>
      </c>
      <c r="F592" t="e">
        <f ca="1">WEIBULL_INV(E592,$B$4,$B$3)</f>
        <v>#NAME?</v>
      </c>
    </row>
    <row r="593" spans="4:6" x14ac:dyDescent="0.25">
      <c r="D593">
        <f t="shared" si="9"/>
        <v>591</v>
      </c>
      <c r="E593" t="e">
        <f ca="1">RANDOM($B$7)</f>
        <v>#NAME?</v>
      </c>
      <c r="F593" t="e">
        <f ca="1">WEIBULL_INV(E593,$B$4,$B$3)</f>
        <v>#NAME?</v>
      </c>
    </row>
    <row r="594" spans="4:6" x14ac:dyDescent="0.25">
      <c r="D594">
        <f t="shared" si="9"/>
        <v>592</v>
      </c>
      <c r="E594" t="e">
        <f ca="1">RANDOM($B$7)</f>
        <v>#NAME?</v>
      </c>
      <c r="F594" t="e">
        <f ca="1">WEIBULL_INV(E594,$B$4,$B$3)</f>
        <v>#NAME?</v>
      </c>
    </row>
    <row r="595" spans="4:6" x14ac:dyDescent="0.25">
      <c r="D595">
        <f t="shared" si="9"/>
        <v>593</v>
      </c>
      <c r="E595" t="e">
        <f ca="1">RANDOM($B$7)</f>
        <v>#NAME?</v>
      </c>
      <c r="F595" t="e">
        <f ca="1">WEIBULL_INV(E595,$B$4,$B$3)</f>
        <v>#NAME?</v>
      </c>
    </row>
    <row r="596" spans="4:6" x14ac:dyDescent="0.25">
      <c r="D596">
        <f t="shared" si="9"/>
        <v>594</v>
      </c>
      <c r="E596" t="e">
        <f ca="1">RANDOM($B$7)</f>
        <v>#NAME?</v>
      </c>
      <c r="F596" t="e">
        <f ca="1">WEIBULL_INV(E596,$B$4,$B$3)</f>
        <v>#NAME?</v>
      </c>
    </row>
    <row r="597" spans="4:6" x14ac:dyDescent="0.25">
      <c r="D597">
        <f t="shared" si="9"/>
        <v>595</v>
      </c>
      <c r="E597" t="e">
        <f ca="1">RANDOM($B$7)</f>
        <v>#NAME?</v>
      </c>
      <c r="F597" t="e">
        <f ca="1">WEIBULL_INV(E597,$B$4,$B$3)</f>
        <v>#NAME?</v>
      </c>
    </row>
    <row r="598" spans="4:6" x14ac:dyDescent="0.25">
      <c r="D598">
        <f t="shared" si="9"/>
        <v>596</v>
      </c>
      <c r="E598" t="e">
        <f ca="1">RANDOM($B$7)</f>
        <v>#NAME?</v>
      </c>
      <c r="F598" t="e">
        <f ca="1">WEIBULL_INV(E598,$B$4,$B$3)</f>
        <v>#NAME?</v>
      </c>
    </row>
    <row r="599" spans="4:6" x14ac:dyDescent="0.25">
      <c r="D599">
        <f t="shared" si="9"/>
        <v>597</v>
      </c>
      <c r="E599" t="e">
        <f ca="1">RANDOM($B$7)</f>
        <v>#NAME?</v>
      </c>
      <c r="F599" t="e">
        <f ca="1">WEIBULL_INV(E599,$B$4,$B$3)</f>
        <v>#NAME?</v>
      </c>
    </row>
    <row r="600" spans="4:6" x14ac:dyDescent="0.25">
      <c r="D600">
        <f t="shared" si="9"/>
        <v>598</v>
      </c>
      <c r="E600" t="e">
        <f ca="1">RANDOM($B$7)</f>
        <v>#NAME?</v>
      </c>
      <c r="F600" t="e">
        <f ca="1">WEIBULL_INV(E600,$B$4,$B$3)</f>
        <v>#NAME?</v>
      </c>
    </row>
    <row r="601" spans="4:6" x14ac:dyDescent="0.25">
      <c r="D601">
        <f t="shared" si="9"/>
        <v>599</v>
      </c>
      <c r="E601" t="e">
        <f ca="1">RANDOM($B$7)</f>
        <v>#NAME?</v>
      </c>
      <c r="F601" t="e">
        <f ca="1">WEIBULL_INV(E601,$B$4,$B$3)</f>
        <v>#NAME?</v>
      </c>
    </row>
    <row r="602" spans="4:6" x14ac:dyDescent="0.25">
      <c r="D602">
        <f t="shared" si="9"/>
        <v>600</v>
      </c>
      <c r="E602" t="e">
        <f ca="1">RANDOM($B$7)</f>
        <v>#NAME?</v>
      </c>
      <c r="F602" t="e">
        <f ca="1">WEIBULL_INV(E602,$B$4,$B$3)</f>
        <v>#NAME?</v>
      </c>
    </row>
    <row r="603" spans="4:6" x14ac:dyDescent="0.25">
      <c r="D603">
        <f t="shared" si="9"/>
        <v>601</v>
      </c>
      <c r="E603" t="e">
        <f ca="1">RANDOM($B$7)</f>
        <v>#NAME?</v>
      </c>
      <c r="F603" t="e">
        <f ca="1">WEIBULL_INV(E603,$B$4,$B$3)</f>
        <v>#NAME?</v>
      </c>
    </row>
    <row r="604" spans="4:6" x14ac:dyDescent="0.25">
      <c r="D604">
        <f t="shared" si="9"/>
        <v>602</v>
      </c>
      <c r="E604" t="e">
        <f ca="1">RANDOM($B$7)</f>
        <v>#NAME?</v>
      </c>
      <c r="F604" t="e">
        <f ca="1">WEIBULL_INV(E604,$B$4,$B$3)</f>
        <v>#NAME?</v>
      </c>
    </row>
    <row r="605" spans="4:6" x14ac:dyDescent="0.25">
      <c r="D605">
        <f t="shared" si="9"/>
        <v>603</v>
      </c>
      <c r="E605" t="e">
        <f ca="1">RANDOM($B$7)</f>
        <v>#NAME?</v>
      </c>
      <c r="F605" t="e">
        <f ca="1">WEIBULL_INV(E605,$B$4,$B$3)</f>
        <v>#NAME?</v>
      </c>
    </row>
    <row r="606" spans="4:6" x14ac:dyDescent="0.25">
      <c r="D606">
        <f t="shared" si="9"/>
        <v>604</v>
      </c>
      <c r="E606" t="e">
        <f ca="1">RANDOM($B$7)</f>
        <v>#NAME?</v>
      </c>
      <c r="F606" t="e">
        <f ca="1">WEIBULL_INV(E606,$B$4,$B$3)</f>
        <v>#NAME?</v>
      </c>
    </row>
    <row r="607" spans="4:6" x14ac:dyDescent="0.25">
      <c r="D607">
        <f t="shared" si="9"/>
        <v>605</v>
      </c>
      <c r="E607" t="e">
        <f ca="1">RANDOM($B$7)</f>
        <v>#NAME?</v>
      </c>
      <c r="F607" t="e">
        <f ca="1">WEIBULL_INV(E607,$B$4,$B$3)</f>
        <v>#NAME?</v>
      </c>
    </row>
    <row r="608" spans="4:6" x14ac:dyDescent="0.25">
      <c r="D608">
        <f t="shared" si="9"/>
        <v>606</v>
      </c>
      <c r="E608" t="e">
        <f ca="1">RANDOM($B$7)</f>
        <v>#NAME?</v>
      </c>
      <c r="F608" t="e">
        <f ca="1">WEIBULL_INV(E608,$B$4,$B$3)</f>
        <v>#NAME?</v>
      </c>
    </row>
    <row r="609" spans="4:6" x14ac:dyDescent="0.25">
      <c r="D609">
        <f t="shared" si="9"/>
        <v>607</v>
      </c>
      <c r="E609" t="e">
        <f ca="1">RANDOM($B$7)</f>
        <v>#NAME?</v>
      </c>
      <c r="F609" t="e">
        <f ca="1">WEIBULL_INV(E609,$B$4,$B$3)</f>
        <v>#NAME?</v>
      </c>
    </row>
    <row r="610" spans="4:6" x14ac:dyDescent="0.25">
      <c r="D610">
        <f t="shared" si="9"/>
        <v>608</v>
      </c>
      <c r="E610" t="e">
        <f ca="1">RANDOM($B$7)</f>
        <v>#NAME?</v>
      </c>
      <c r="F610" t="e">
        <f ca="1">WEIBULL_INV(E610,$B$4,$B$3)</f>
        <v>#NAME?</v>
      </c>
    </row>
    <row r="611" spans="4:6" x14ac:dyDescent="0.25">
      <c r="D611">
        <f t="shared" si="9"/>
        <v>609</v>
      </c>
      <c r="E611" t="e">
        <f ca="1">RANDOM($B$7)</f>
        <v>#NAME?</v>
      </c>
      <c r="F611" t="e">
        <f ca="1">WEIBULL_INV(E611,$B$4,$B$3)</f>
        <v>#NAME?</v>
      </c>
    </row>
    <row r="612" spans="4:6" x14ac:dyDescent="0.25">
      <c r="D612">
        <f t="shared" si="9"/>
        <v>610</v>
      </c>
      <c r="E612" t="e">
        <f ca="1">RANDOM($B$7)</f>
        <v>#NAME?</v>
      </c>
      <c r="F612" t="e">
        <f ca="1">WEIBULL_INV(E612,$B$4,$B$3)</f>
        <v>#NAME?</v>
      </c>
    </row>
    <row r="613" spans="4:6" x14ac:dyDescent="0.25">
      <c r="D613">
        <f t="shared" si="9"/>
        <v>611</v>
      </c>
      <c r="E613" t="e">
        <f ca="1">RANDOM($B$7)</f>
        <v>#NAME?</v>
      </c>
      <c r="F613" t="e">
        <f ca="1">WEIBULL_INV(E613,$B$4,$B$3)</f>
        <v>#NAME?</v>
      </c>
    </row>
    <row r="614" spans="4:6" x14ac:dyDescent="0.25">
      <c r="D614">
        <f t="shared" si="9"/>
        <v>612</v>
      </c>
      <c r="E614" t="e">
        <f ca="1">RANDOM($B$7)</f>
        <v>#NAME?</v>
      </c>
      <c r="F614" t="e">
        <f ca="1">WEIBULL_INV(E614,$B$4,$B$3)</f>
        <v>#NAME?</v>
      </c>
    </row>
    <row r="615" spans="4:6" x14ac:dyDescent="0.25">
      <c r="D615">
        <f t="shared" si="9"/>
        <v>613</v>
      </c>
      <c r="E615" t="e">
        <f ca="1">RANDOM($B$7)</f>
        <v>#NAME?</v>
      </c>
      <c r="F615" t="e">
        <f ca="1">WEIBULL_INV(E615,$B$4,$B$3)</f>
        <v>#NAME?</v>
      </c>
    </row>
    <row r="616" spans="4:6" x14ac:dyDescent="0.25">
      <c r="D616">
        <f t="shared" si="9"/>
        <v>614</v>
      </c>
      <c r="E616" t="e">
        <f ca="1">RANDOM($B$7)</f>
        <v>#NAME?</v>
      </c>
      <c r="F616" t="e">
        <f ca="1">WEIBULL_INV(E616,$B$4,$B$3)</f>
        <v>#NAME?</v>
      </c>
    </row>
    <row r="617" spans="4:6" x14ac:dyDescent="0.25">
      <c r="D617">
        <f t="shared" si="9"/>
        <v>615</v>
      </c>
      <c r="E617" t="e">
        <f ca="1">RANDOM($B$7)</f>
        <v>#NAME?</v>
      </c>
      <c r="F617" t="e">
        <f ca="1">WEIBULL_INV(E617,$B$4,$B$3)</f>
        <v>#NAME?</v>
      </c>
    </row>
    <row r="618" spans="4:6" x14ac:dyDescent="0.25">
      <c r="D618">
        <f t="shared" si="9"/>
        <v>616</v>
      </c>
      <c r="E618" t="e">
        <f ca="1">RANDOM($B$7)</f>
        <v>#NAME?</v>
      </c>
      <c r="F618" t="e">
        <f ca="1">WEIBULL_INV(E618,$B$4,$B$3)</f>
        <v>#NAME?</v>
      </c>
    </row>
    <row r="619" spans="4:6" x14ac:dyDescent="0.25">
      <c r="D619">
        <f t="shared" si="9"/>
        <v>617</v>
      </c>
      <c r="E619" t="e">
        <f ca="1">RANDOM($B$7)</f>
        <v>#NAME?</v>
      </c>
      <c r="F619" t="e">
        <f ca="1">WEIBULL_INV(E619,$B$4,$B$3)</f>
        <v>#NAME?</v>
      </c>
    </row>
    <row r="620" spans="4:6" x14ac:dyDescent="0.25">
      <c r="D620">
        <f t="shared" si="9"/>
        <v>618</v>
      </c>
      <c r="E620" t="e">
        <f ca="1">RANDOM($B$7)</f>
        <v>#NAME?</v>
      </c>
      <c r="F620" t="e">
        <f ca="1">WEIBULL_INV(E620,$B$4,$B$3)</f>
        <v>#NAME?</v>
      </c>
    </row>
    <row r="621" spans="4:6" x14ac:dyDescent="0.25">
      <c r="D621">
        <f t="shared" si="9"/>
        <v>619</v>
      </c>
      <c r="E621" t="e">
        <f ca="1">RANDOM($B$7)</f>
        <v>#NAME?</v>
      </c>
      <c r="F621" t="e">
        <f ca="1">WEIBULL_INV(E621,$B$4,$B$3)</f>
        <v>#NAME?</v>
      </c>
    </row>
    <row r="622" spans="4:6" x14ac:dyDescent="0.25">
      <c r="D622">
        <f t="shared" si="9"/>
        <v>620</v>
      </c>
      <c r="E622" t="e">
        <f ca="1">RANDOM($B$7)</f>
        <v>#NAME?</v>
      </c>
      <c r="F622" t="e">
        <f ca="1">WEIBULL_INV(E622,$B$4,$B$3)</f>
        <v>#NAME?</v>
      </c>
    </row>
    <row r="623" spans="4:6" x14ac:dyDescent="0.25">
      <c r="D623">
        <f t="shared" si="9"/>
        <v>621</v>
      </c>
      <c r="E623" t="e">
        <f ca="1">RANDOM($B$7)</f>
        <v>#NAME?</v>
      </c>
      <c r="F623" t="e">
        <f ca="1">WEIBULL_INV(E623,$B$4,$B$3)</f>
        <v>#NAME?</v>
      </c>
    </row>
    <row r="624" spans="4:6" x14ac:dyDescent="0.25">
      <c r="D624">
        <f t="shared" si="9"/>
        <v>622</v>
      </c>
      <c r="E624" t="e">
        <f ca="1">RANDOM($B$7)</f>
        <v>#NAME?</v>
      </c>
      <c r="F624" t="e">
        <f ca="1">WEIBULL_INV(E624,$B$4,$B$3)</f>
        <v>#NAME?</v>
      </c>
    </row>
    <row r="625" spans="4:6" x14ac:dyDescent="0.25">
      <c r="D625">
        <f t="shared" si="9"/>
        <v>623</v>
      </c>
      <c r="E625" t="e">
        <f ca="1">RANDOM($B$7)</f>
        <v>#NAME?</v>
      </c>
      <c r="F625" t="e">
        <f ca="1">WEIBULL_INV(E625,$B$4,$B$3)</f>
        <v>#NAME?</v>
      </c>
    </row>
    <row r="626" spans="4:6" x14ac:dyDescent="0.25">
      <c r="D626">
        <f t="shared" si="9"/>
        <v>624</v>
      </c>
      <c r="E626" t="e">
        <f ca="1">RANDOM($B$7)</f>
        <v>#NAME?</v>
      </c>
      <c r="F626" t="e">
        <f ca="1">WEIBULL_INV(E626,$B$4,$B$3)</f>
        <v>#NAME?</v>
      </c>
    </row>
    <row r="627" spans="4:6" x14ac:dyDescent="0.25">
      <c r="D627">
        <f t="shared" si="9"/>
        <v>625</v>
      </c>
      <c r="E627" t="e">
        <f ca="1">RANDOM($B$7)</f>
        <v>#NAME?</v>
      </c>
      <c r="F627" t="e">
        <f ca="1">WEIBULL_INV(E627,$B$4,$B$3)</f>
        <v>#NAME?</v>
      </c>
    </row>
    <row r="628" spans="4:6" x14ac:dyDescent="0.25">
      <c r="D628">
        <f t="shared" si="9"/>
        <v>626</v>
      </c>
      <c r="E628" t="e">
        <f ca="1">RANDOM($B$7)</f>
        <v>#NAME?</v>
      </c>
      <c r="F628" t="e">
        <f ca="1">WEIBULL_INV(E628,$B$4,$B$3)</f>
        <v>#NAME?</v>
      </c>
    </row>
    <row r="629" spans="4:6" x14ac:dyDescent="0.25">
      <c r="D629">
        <f t="shared" si="9"/>
        <v>627</v>
      </c>
      <c r="E629" t="e">
        <f ca="1">RANDOM($B$7)</f>
        <v>#NAME?</v>
      </c>
      <c r="F629" t="e">
        <f ca="1">WEIBULL_INV(E629,$B$4,$B$3)</f>
        <v>#NAME?</v>
      </c>
    </row>
    <row r="630" spans="4:6" x14ac:dyDescent="0.25">
      <c r="D630">
        <f t="shared" si="9"/>
        <v>628</v>
      </c>
      <c r="E630" t="e">
        <f ca="1">RANDOM($B$7)</f>
        <v>#NAME?</v>
      </c>
      <c r="F630" t="e">
        <f ca="1">WEIBULL_INV(E630,$B$4,$B$3)</f>
        <v>#NAME?</v>
      </c>
    </row>
    <row r="631" spans="4:6" x14ac:dyDescent="0.25">
      <c r="D631">
        <f t="shared" si="9"/>
        <v>629</v>
      </c>
      <c r="E631" t="e">
        <f ca="1">RANDOM($B$7)</f>
        <v>#NAME?</v>
      </c>
      <c r="F631" t="e">
        <f ca="1">WEIBULL_INV(E631,$B$4,$B$3)</f>
        <v>#NAME?</v>
      </c>
    </row>
    <row r="632" spans="4:6" x14ac:dyDescent="0.25">
      <c r="D632">
        <f t="shared" si="9"/>
        <v>630</v>
      </c>
      <c r="E632" t="e">
        <f ca="1">RANDOM($B$7)</f>
        <v>#NAME?</v>
      </c>
      <c r="F632" t="e">
        <f ca="1">WEIBULL_INV(E632,$B$4,$B$3)</f>
        <v>#NAME?</v>
      </c>
    </row>
    <row r="633" spans="4:6" x14ac:dyDescent="0.25">
      <c r="D633">
        <f t="shared" si="9"/>
        <v>631</v>
      </c>
      <c r="E633" t="e">
        <f ca="1">RANDOM($B$7)</f>
        <v>#NAME?</v>
      </c>
      <c r="F633" t="e">
        <f ca="1">WEIBULL_INV(E633,$B$4,$B$3)</f>
        <v>#NAME?</v>
      </c>
    </row>
    <row r="634" spans="4:6" x14ac:dyDescent="0.25">
      <c r="D634">
        <f t="shared" si="9"/>
        <v>632</v>
      </c>
      <c r="E634" t="e">
        <f ca="1">RANDOM($B$7)</f>
        <v>#NAME?</v>
      </c>
      <c r="F634" t="e">
        <f ca="1">WEIBULL_INV(E634,$B$4,$B$3)</f>
        <v>#NAME?</v>
      </c>
    </row>
    <row r="635" spans="4:6" x14ac:dyDescent="0.25">
      <c r="D635">
        <f t="shared" si="9"/>
        <v>633</v>
      </c>
      <c r="E635" t="e">
        <f ca="1">RANDOM($B$7)</f>
        <v>#NAME?</v>
      </c>
      <c r="F635" t="e">
        <f ca="1">WEIBULL_INV(E635,$B$4,$B$3)</f>
        <v>#NAME?</v>
      </c>
    </row>
    <row r="636" spans="4:6" x14ac:dyDescent="0.25">
      <c r="D636">
        <f t="shared" si="9"/>
        <v>634</v>
      </c>
      <c r="E636" t="e">
        <f ca="1">RANDOM($B$7)</f>
        <v>#NAME?</v>
      </c>
      <c r="F636" t="e">
        <f ca="1">WEIBULL_INV(E636,$B$4,$B$3)</f>
        <v>#NAME?</v>
      </c>
    </row>
    <row r="637" spans="4:6" x14ac:dyDescent="0.25">
      <c r="D637">
        <f t="shared" si="9"/>
        <v>635</v>
      </c>
      <c r="E637" t="e">
        <f ca="1">RANDOM($B$7)</f>
        <v>#NAME?</v>
      </c>
      <c r="F637" t="e">
        <f ca="1">WEIBULL_INV(E637,$B$4,$B$3)</f>
        <v>#NAME?</v>
      </c>
    </row>
    <row r="638" spans="4:6" x14ac:dyDescent="0.25">
      <c r="D638">
        <f t="shared" si="9"/>
        <v>636</v>
      </c>
      <c r="E638" t="e">
        <f ca="1">RANDOM($B$7)</f>
        <v>#NAME?</v>
      </c>
      <c r="F638" t="e">
        <f ca="1">WEIBULL_INV(E638,$B$4,$B$3)</f>
        <v>#NAME?</v>
      </c>
    </row>
    <row r="639" spans="4:6" x14ac:dyDescent="0.25">
      <c r="D639">
        <f t="shared" si="9"/>
        <v>637</v>
      </c>
      <c r="E639" t="e">
        <f ca="1">RANDOM($B$7)</f>
        <v>#NAME?</v>
      </c>
      <c r="F639" t="e">
        <f ca="1">WEIBULL_INV(E639,$B$4,$B$3)</f>
        <v>#NAME?</v>
      </c>
    </row>
    <row r="640" spans="4:6" x14ac:dyDescent="0.25">
      <c r="D640">
        <f t="shared" si="9"/>
        <v>638</v>
      </c>
      <c r="E640" t="e">
        <f ca="1">RANDOM($B$7)</f>
        <v>#NAME?</v>
      </c>
      <c r="F640" t="e">
        <f ca="1">WEIBULL_INV(E640,$B$4,$B$3)</f>
        <v>#NAME?</v>
      </c>
    </row>
    <row r="641" spans="4:6" x14ac:dyDescent="0.25">
      <c r="D641">
        <f t="shared" si="9"/>
        <v>639</v>
      </c>
      <c r="E641" t="e">
        <f ca="1">RANDOM($B$7)</f>
        <v>#NAME?</v>
      </c>
      <c r="F641" t="e">
        <f ca="1">WEIBULL_INV(E641,$B$4,$B$3)</f>
        <v>#NAME?</v>
      </c>
    </row>
    <row r="642" spans="4:6" x14ac:dyDescent="0.25">
      <c r="D642">
        <f t="shared" si="9"/>
        <v>640</v>
      </c>
      <c r="E642" t="e">
        <f ca="1">RANDOM($B$7)</f>
        <v>#NAME?</v>
      </c>
      <c r="F642" t="e">
        <f ca="1">WEIBULL_INV(E642,$B$4,$B$3)</f>
        <v>#NAME?</v>
      </c>
    </row>
    <row r="643" spans="4:6" x14ac:dyDescent="0.25">
      <c r="D643">
        <f t="shared" si="9"/>
        <v>641</v>
      </c>
      <c r="E643" t="e">
        <f ca="1">RANDOM($B$7)</f>
        <v>#NAME?</v>
      </c>
      <c r="F643" t="e">
        <f ca="1">WEIBULL_INV(E643,$B$4,$B$3)</f>
        <v>#NAME?</v>
      </c>
    </row>
    <row r="644" spans="4:6" x14ac:dyDescent="0.25">
      <c r="D644">
        <f t="shared" si="9"/>
        <v>642</v>
      </c>
      <c r="E644" t="e">
        <f ca="1">RANDOM($B$7)</f>
        <v>#NAME?</v>
      </c>
      <c r="F644" t="e">
        <f ca="1">WEIBULL_INV(E644,$B$4,$B$3)</f>
        <v>#NAME?</v>
      </c>
    </row>
    <row r="645" spans="4:6" x14ac:dyDescent="0.25">
      <c r="D645">
        <f t="shared" ref="D645:D708" si="10">D644+1</f>
        <v>643</v>
      </c>
      <c r="E645" t="e">
        <f ca="1">RANDOM($B$7)</f>
        <v>#NAME?</v>
      </c>
      <c r="F645" t="e">
        <f ca="1">WEIBULL_INV(E645,$B$4,$B$3)</f>
        <v>#NAME?</v>
      </c>
    </row>
    <row r="646" spans="4:6" x14ac:dyDescent="0.25">
      <c r="D646">
        <f t="shared" si="10"/>
        <v>644</v>
      </c>
      <c r="E646" t="e">
        <f ca="1">RANDOM($B$7)</f>
        <v>#NAME?</v>
      </c>
      <c r="F646" t="e">
        <f ca="1">WEIBULL_INV(E646,$B$4,$B$3)</f>
        <v>#NAME?</v>
      </c>
    </row>
    <row r="647" spans="4:6" x14ac:dyDescent="0.25">
      <c r="D647">
        <f t="shared" si="10"/>
        <v>645</v>
      </c>
      <c r="E647" t="e">
        <f ca="1">RANDOM($B$7)</f>
        <v>#NAME?</v>
      </c>
      <c r="F647" t="e">
        <f ca="1">WEIBULL_INV(E647,$B$4,$B$3)</f>
        <v>#NAME?</v>
      </c>
    </row>
    <row r="648" spans="4:6" x14ac:dyDescent="0.25">
      <c r="D648">
        <f t="shared" si="10"/>
        <v>646</v>
      </c>
      <c r="E648" t="e">
        <f ca="1">RANDOM($B$7)</f>
        <v>#NAME?</v>
      </c>
      <c r="F648" t="e">
        <f ca="1">WEIBULL_INV(E648,$B$4,$B$3)</f>
        <v>#NAME?</v>
      </c>
    </row>
    <row r="649" spans="4:6" x14ac:dyDescent="0.25">
      <c r="D649">
        <f t="shared" si="10"/>
        <v>647</v>
      </c>
      <c r="E649" t="e">
        <f ca="1">RANDOM($B$7)</f>
        <v>#NAME?</v>
      </c>
      <c r="F649" t="e">
        <f ca="1">WEIBULL_INV(E649,$B$4,$B$3)</f>
        <v>#NAME?</v>
      </c>
    </row>
    <row r="650" spans="4:6" x14ac:dyDescent="0.25">
      <c r="D650">
        <f t="shared" si="10"/>
        <v>648</v>
      </c>
      <c r="E650" t="e">
        <f ca="1">RANDOM($B$7)</f>
        <v>#NAME?</v>
      </c>
      <c r="F650" t="e">
        <f ca="1">WEIBULL_INV(E650,$B$4,$B$3)</f>
        <v>#NAME?</v>
      </c>
    </row>
    <row r="651" spans="4:6" x14ac:dyDescent="0.25">
      <c r="D651">
        <f t="shared" si="10"/>
        <v>649</v>
      </c>
      <c r="E651" t="e">
        <f ca="1">RANDOM($B$7)</f>
        <v>#NAME?</v>
      </c>
      <c r="F651" t="e">
        <f ca="1">WEIBULL_INV(E651,$B$4,$B$3)</f>
        <v>#NAME?</v>
      </c>
    </row>
    <row r="652" spans="4:6" x14ac:dyDescent="0.25">
      <c r="D652">
        <f t="shared" si="10"/>
        <v>650</v>
      </c>
      <c r="E652" t="e">
        <f ca="1">RANDOM($B$7)</f>
        <v>#NAME?</v>
      </c>
      <c r="F652" t="e">
        <f ca="1">WEIBULL_INV(E652,$B$4,$B$3)</f>
        <v>#NAME?</v>
      </c>
    </row>
    <row r="653" spans="4:6" x14ac:dyDescent="0.25">
      <c r="D653">
        <f t="shared" si="10"/>
        <v>651</v>
      </c>
      <c r="E653" t="e">
        <f ca="1">RANDOM($B$7)</f>
        <v>#NAME?</v>
      </c>
      <c r="F653" t="e">
        <f ca="1">WEIBULL_INV(E653,$B$4,$B$3)</f>
        <v>#NAME?</v>
      </c>
    </row>
    <row r="654" spans="4:6" x14ac:dyDescent="0.25">
      <c r="D654">
        <f t="shared" si="10"/>
        <v>652</v>
      </c>
      <c r="E654" t="e">
        <f ca="1">RANDOM($B$7)</f>
        <v>#NAME?</v>
      </c>
      <c r="F654" t="e">
        <f ca="1">WEIBULL_INV(E654,$B$4,$B$3)</f>
        <v>#NAME?</v>
      </c>
    </row>
    <row r="655" spans="4:6" x14ac:dyDescent="0.25">
      <c r="D655">
        <f t="shared" si="10"/>
        <v>653</v>
      </c>
      <c r="E655" t="e">
        <f ca="1">RANDOM($B$7)</f>
        <v>#NAME?</v>
      </c>
      <c r="F655" t="e">
        <f ca="1">WEIBULL_INV(E655,$B$4,$B$3)</f>
        <v>#NAME?</v>
      </c>
    </row>
    <row r="656" spans="4:6" x14ac:dyDescent="0.25">
      <c r="D656">
        <f t="shared" si="10"/>
        <v>654</v>
      </c>
      <c r="E656" t="e">
        <f ca="1">RANDOM($B$7)</f>
        <v>#NAME?</v>
      </c>
      <c r="F656" t="e">
        <f ca="1">WEIBULL_INV(E656,$B$4,$B$3)</f>
        <v>#NAME?</v>
      </c>
    </row>
    <row r="657" spans="4:6" x14ac:dyDescent="0.25">
      <c r="D657">
        <f t="shared" si="10"/>
        <v>655</v>
      </c>
      <c r="E657" t="e">
        <f ca="1">RANDOM($B$7)</f>
        <v>#NAME?</v>
      </c>
      <c r="F657" t="e">
        <f ca="1">WEIBULL_INV(E657,$B$4,$B$3)</f>
        <v>#NAME?</v>
      </c>
    </row>
    <row r="658" spans="4:6" x14ac:dyDescent="0.25">
      <c r="D658">
        <f t="shared" si="10"/>
        <v>656</v>
      </c>
      <c r="E658" t="e">
        <f ca="1">RANDOM($B$7)</f>
        <v>#NAME?</v>
      </c>
      <c r="F658" t="e">
        <f ca="1">WEIBULL_INV(E658,$B$4,$B$3)</f>
        <v>#NAME?</v>
      </c>
    </row>
    <row r="659" spans="4:6" x14ac:dyDescent="0.25">
      <c r="D659">
        <f t="shared" si="10"/>
        <v>657</v>
      </c>
      <c r="E659" t="e">
        <f ca="1">RANDOM($B$7)</f>
        <v>#NAME?</v>
      </c>
      <c r="F659" t="e">
        <f ca="1">WEIBULL_INV(E659,$B$4,$B$3)</f>
        <v>#NAME?</v>
      </c>
    </row>
    <row r="660" spans="4:6" x14ac:dyDescent="0.25">
      <c r="D660">
        <f t="shared" si="10"/>
        <v>658</v>
      </c>
      <c r="E660" t="e">
        <f ca="1">RANDOM($B$7)</f>
        <v>#NAME?</v>
      </c>
      <c r="F660" t="e">
        <f ca="1">WEIBULL_INV(E660,$B$4,$B$3)</f>
        <v>#NAME?</v>
      </c>
    </row>
    <row r="661" spans="4:6" x14ac:dyDescent="0.25">
      <c r="D661">
        <f t="shared" si="10"/>
        <v>659</v>
      </c>
      <c r="E661" t="e">
        <f ca="1">RANDOM($B$7)</f>
        <v>#NAME?</v>
      </c>
      <c r="F661" t="e">
        <f ca="1">WEIBULL_INV(E661,$B$4,$B$3)</f>
        <v>#NAME?</v>
      </c>
    </row>
    <row r="662" spans="4:6" x14ac:dyDescent="0.25">
      <c r="D662">
        <f t="shared" si="10"/>
        <v>660</v>
      </c>
      <c r="E662" t="e">
        <f ca="1">RANDOM($B$7)</f>
        <v>#NAME?</v>
      </c>
      <c r="F662" t="e">
        <f ca="1">WEIBULL_INV(E662,$B$4,$B$3)</f>
        <v>#NAME?</v>
      </c>
    </row>
    <row r="663" spans="4:6" x14ac:dyDescent="0.25">
      <c r="D663">
        <f t="shared" si="10"/>
        <v>661</v>
      </c>
      <c r="E663" t="e">
        <f ca="1">RANDOM($B$7)</f>
        <v>#NAME?</v>
      </c>
      <c r="F663" t="e">
        <f ca="1">WEIBULL_INV(E663,$B$4,$B$3)</f>
        <v>#NAME?</v>
      </c>
    </row>
    <row r="664" spans="4:6" x14ac:dyDescent="0.25">
      <c r="D664">
        <f t="shared" si="10"/>
        <v>662</v>
      </c>
      <c r="E664" t="e">
        <f ca="1">RANDOM($B$7)</f>
        <v>#NAME?</v>
      </c>
      <c r="F664" t="e">
        <f ca="1">WEIBULL_INV(E664,$B$4,$B$3)</f>
        <v>#NAME?</v>
      </c>
    </row>
    <row r="665" spans="4:6" x14ac:dyDescent="0.25">
      <c r="D665">
        <f t="shared" si="10"/>
        <v>663</v>
      </c>
      <c r="E665" t="e">
        <f ca="1">RANDOM($B$7)</f>
        <v>#NAME?</v>
      </c>
      <c r="F665" t="e">
        <f ca="1">WEIBULL_INV(E665,$B$4,$B$3)</f>
        <v>#NAME?</v>
      </c>
    </row>
    <row r="666" spans="4:6" x14ac:dyDescent="0.25">
      <c r="D666">
        <f t="shared" si="10"/>
        <v>664</v>
      </c>
      <c r="E666" t="e">
        <f ca="1">RANDOM($B$7)</f>
        <v>#NAME?</v>
      </c>
      <c r="F666" t="e">
        <f ca="1">WEIBULL_INV(E666,$B$4,$B$3)</f>
        <v>#NAME?</v>
      </c>
    </row>
    <row r="667" spans="4:6" x14ac:dyDescent="0.25">
      <c r="D667">
        <f t="shared" si="10"/>
        <v>665</v>
      </c>
      <c r="E667" t="e">
        <f ca="1">RANDOM($B$7)</f>
        <v>#NAME?</v>
      </c>
      <c r="F667" t="e">
        <f ca="1">WEIBULL_INV(E667,$B$4,$B$3)</f>
        <v>#NAME?</v>
      </c>
    </row>
    <row r="668" spans="4:6" x14ac:dyDescent="0.25">
      <c r="D668">
        <f t="shared" si="10"/>
        <v>666</v>
      </c>
      <c r="E668" t="e">
        <f ca="1">RANDOM($B$7)</f>
        <v>#NAME?</v>
      </c>
      <c r="F668" t="e">
        <f ca="1">WEIBULL_INV(E668,$B$4,$B$3)</f>
        <v>#NAME?</v>
      </c>
    </row>
    <row r="669" spans="4:6" x14ac:dyDescent="0.25">
      <c r="D669">
        <f t="shared" si="10"/>
        <v>667</v>
      </c>
      <c r="E669" t="e">
        <f ca="1">RANDOM($B$7)</f>
        <v>#NAME?</v>
      </c>
      <c r="F669" t="e">
        <f ca="1">WEIBULL_INV(E669,$B$4,$B$3)</f>
        <v>#NAME?</v>
      </c>
    </row>
    <row r="670" spans="4:6" x14ac:dyDescent="0.25">
      <c r="D670">
        <f t="shared" si="10"/>
        <v>668</v>
      </c>
      <c r="E670" t="e">
        <f ca="1">RANDOM($B$7)</f>
        <v>#NAME?</v>
      </c>
      <c r="F670" t="e">
        <f ca="1">WEIBULL_INV(E670,$B$4,$B$3)</f>
        <v>#NAME?</v>
      </c>
    </row>
    <row r="671" spans="4:6" x14ac:dyDescent="0.25">
      <c r="D671">
        <f t="shared" si="10"/>
        <v>669</v>
      </c>
      <c r="E671" t="e">
        <f ca="1">RANDOM($B$7)</f>
        <v>#NAME?</v>
      </c>
      <c r="F671" t="e">
        <f ca="1">WEIBULL_INV(E671,$B$4,$B$3)</f>
        <v>#NAME?</v>
      </c>
    </row>
    <row r="672" spans="4:6" x14ac:dyDescent="0.25">
      <c r="D672">
        <f t="shared" si="10"/>
        <v>670</v>
      </c>
      <c r="E672" t="e">
        <f ca="1">RANDOM($B$7)</f>
        <v>#NAME?</v>
      </c>
      <c r="F672" t="e">
        <f ca="1">WEIBULL_INV(E672,$B$4,$B$3)</f>
        <v>#NAME?</v>
      </c>
    </row>
    <row r="673" spans="4:6" x14ac:dyDescent="0.25">
      <c r="D673">
        <f t="shared" si="10"/>
        <v>671</v>
      </c>
      <c r="E673" t="e">
        <f ca="1">RANDOM($B$7)</f>
        <v>#NAME?</v>
      </c>
      <c r="F673" t="e">
        <f ca="1">WEIBULL_INV(E673,$B$4,$B$3)</f>
        <v>#NAME?</v>
      </c>
    </row>
    <row r="674" spans="4:6" x14ac:dyDescent="0.25">
      <c r="D674">
        <f t="shared" si="10"/>
        <v>672</v>
      </c>
      <c r="E674" t="e">
        <f ca="1">RANDOM($B$7)</f>
        <v>#NAME?</v>
      </c>
      <c r="F674" t="e">
        <f ca="1">WEIBULL_INV(E674,$B$4,$B$3)</f>
        <v>#NAME?</v>
      </c>
    </row>
    <row r="675" spans="4:6" x14ac:dyDescent="0.25">
      <c r="D675">
        <f t="shared" si="10"/>
        <v>673</v>
      </c>
      <c r="E675" t="e">
        <f ca="1">RANDOM($B$7)</f>
        <v>#NAME?</v>
      </c>
      <c r="F675" t="e">
        <f ca="1">WEIBULL_INV(E675,$B$4,$B$3)</f>
        <v>#NAME?</v>
      </c>
    </row>
    <row r="676" spans="4:6" x14ac:dyDescent="0.25">
      <c r="D676">
        <f t="shared" si="10"/>
        <v>674</v>
      </c>
      <c r="E676" t="e">
        <f ca="1">RANDOM($B$7)</f>
        <v>#NAME?</v>
      </c>
      <c r="F676" t="e">
        <f ca="1">WEIBULL_INV(E676,$B$4,$B$3)</f>
        <v>#NAME?</v>
      </c>
    </row>
    <row r="677" spans="4:6" x14ac:dyDescent="0.25">
      <c r="D677">
        <f t="shared" si="10"/>
        <v>675</v>
      </c>
      <c r="E677" t="e">
        <f ca="1">RANDOM($B$7)</f>
        <v>#NAME?</v>
      </c>
      <c r="F677" t="e">
        <f ca="1">WEIBULL_INV(E677,$B$4,$B$3)</f>
        <v>#NAME?</v>
      </c>
    </row>
    <row r="678" spans="4:6" x14ac:dyDescent="0.25">
      <c r="D678">
        <f t="shared" si="10"/>
        <v>676</v>
      </c>
      <c r="E678" t="e">
        <f ca="1">RANDOM($B$7)</f>
        <v>#NAME?</v>
      </c>
      <c r="F678" t="e">
        <f ca="1">WEIBULL_INV(E678,$B$4,$B$3)</f>
        <v>#NAME?</v>
      </c>
    </row>
    <row r="679" spans="4:6" x14ac:dyDescent="0.25">
      <c r="D679">
        <f t="shared" si="10"/>
        <v>677</v>
      </c>
      <c r="E679" t="e">
        <f ca="1">RANDOM($B$7)</f>
        <v>#NAME?</v>
      </c>
      <c r="F679" t="e">
        <f ca="1">WEIBULL_INV(E679,$B$4,$B$3)</f>
        <v>#NAME?</v>
      </c>
    </row>
    <row r="680" spans="4:6" x14ac:dyDescent="0.25">
      <c r="D680">
        <f t="shared" si="10"/>
        <v>678</v>
      </c>
      <c r="E680" t="e">
        <f ca="1">RANDOM($B$7)</f>
        <v>#NAME?</v>
      </c>
      <c r="F680" t="e">
        <f ca="1">WEIBULL_INV(E680,$B$4,$B$3)</f>
        <v>#NAME?</v>
      </c>
    </row>
    <row r="681" spans="4:6" x14ac:dyDescent="0.25">
      <c r="D681">
        <f t="shared" si="10"/>
        <v>679</v>
      </c>
      <c r="E681" t="e">
        <f ca="1">RANDOM($B$7)</f>
        <v>#NAME?</v>
      </c>
      <c r="F681" t="e">
        <f ca="1">WEIBULL_INV(E681,$B$4,$B$3)</f>
        <v>#NAME?</v>
      </c>
    </row>
    <row r="682" spans="4:6" x14ac:dyDescent="0.25">
      <c r="D682">
        <f t="shared" si="10"/>
        <v>680</v>
      </c>
      <c r="E682" t="e">
        <f ca="1">RANDOM($B$7)</f>
        <v>#NAME?</v>
      </c>
      <c r="F682" t="e">
        <f ca="1">WEIBULL_INV(E682,$B$4,$B$3)</f>
        <v>#NAME?</v>
      </c>
    </row>
    <row r="683" spans="4:6" x14ac:dyDescent="0.25">
      <c r="D683">
        <f t="shared" si="10"/>
        <v>681</v>
      </c>
      <c r="E683" t="e">
        <f ca="1">RANDOM($B$7)</f>
        <v>#NAME?</v>
      </c>
      <c r="F683" t="e">
        <f ca="1">WEIBULL_INV(E683,$B$4,$B$3)</f>
        <v>#NAME?</v>
      </c>
    </row>
    <row r="684" spans="4:6" x14ac:dyDescent="0.25">
      <c r="D684">
        <f t="shared" si="10"/>
        <v>682</v>
      </c>
      <c r="E684" t="e">
        <f ca="1">RANDOM($B$7)</f>
        <v>#NAME?</v>
      </c>
      <c r="F684" t="e">
        <f ca="1">WEIBULL_INV(E684,$B$4,$B$3)</f>
        <v>#NAME?</v>
      </c>
    </row>
    <row r="685" spans="4:6" x14ac:dyDescent="0.25">
      <c r="D685">
        <f t="shared" si="10"/>
        <v>683</v>
      </c>
      <c r="E685" t="e">
        <f ca="1">RANDOM($B$7)</f>
        <v>#NAME?</v>
      </c>
      <c r="F685" t="e">
        <f ca="1">WEIBULL_INV(E685,$B$4,$B$3)</f>
        <v>#NAME?</v>
      </c>
    </row>
    <row r="686" spans="4:6" x14ac:dyDescent="0.25">
      <c r="D686">
        <f t="shared" si="10"/>
        <v>684</v>
      </c>
      <c r="E686" t="e">
        <f ca="1">RANDOM($B$7)</f>
        <v>#NAME?</v>
      </c>
      <c r="F686" t="e">
        <f ca="1">WEIBULL_INV(E686,$B$4,$B$3)</f>
        <v>#NAME?</v>
      </c>
    </row>
    <row r="687" spans="4:6" x14ac:dyDescent="0.25">
      <c r="D687">
        <f t="shared" si="10"/>
        <v>685</v>
      </c>
      <c r="E687" t="e">
        <f ca="1">RANDOM($B$7)</f>
        <v>#NAME?</v>
      </c>
      <c r="F687" t="e">
        <f ca="1">WEIBULL_INV(E687,$B$4,$B$3)</f>
        <v>#NAME?</v>
      </c>
    </row>
    <row r="688" spans="4:6" x14ac:dyDescent="0.25">
      <c r="D688">
        <f t="shared" si="10"/>
        <v>686</v>
      </c>
      <c r="E688" t="e">
        <f ca="1">RANDOM($B$7)</f>
        <v>#NAME?</v>
      </c>
      <c r="F688" t="e">
        <f ca="1">WEIBULL_INV(E688,$B$4,$B$3)</f>
        <v>#NAME?</v>
      </c>
    </row>
    <row r="689" spans="4:6" x14ac:dyDescent="0.25">
      <c r="D689">
        <f t="shared" si="10"/>
        <v>687</v>
      </c>
      <c r="E689" t="e">
        <f ca="1">RANDOM($B$7)</f>
        <v>#NAME?</v>
      </c>
      <c r="F689" t="e">
        <f ca="1">WEIBULL_INV(E689,$B$4,$B$3)</f>
        <v>#NAME?</v>
      </c>
    </row>
    <row r="690" spans="4:6" x14ac:dyDescent="0.25">
      <c r="D690">
        <f t="shared" si="10"/>
        <v>688</v>
      </c>
      <c r="E690" t="e">
        <f ca="1">RANDOM($B$7)</f>
        <v>#NAME?</v>
      </c>
      <c r="F690" t="e">
        <f ca="1">WEIBULL_INV(E690,$B$4,$B$3)</f>
        <v>#NAME?</v>
      </c>
    </row>
    <row r="691" spans="4:6" x14ac:dyDescent="0.25">
      <c r="D691">
        <f t="shared" si="10"/>
        <v>689</v>
      </c>
      <c r="E691" t="e">
        <f ca="1">RANDOM($B$7)</f>
        <v>#NAME?</v>
      </c>
      <c r="F691" t="e">
        <f ca="1">WEIBULL_INV(E691,$B$4,$B$3)</f>
        <v>#NAME?</v>
      </c>
    </row>
    <row r="692" spans="4:6" x14ac:dyDescent="0.25">
      <c r="D692">
        <f t="shared" si="10"/>
        <v>690</v>
      </c>
      <c r="E692" t="e">
        <f ca="1">RANDOM($B$7)</f>
        <v>#NAME?</v>
      </c>
      <c r="F692" t="e">
        <f ca="1">WEIBULL_INV(E692,$B$4,$B$3)</f>
        <v>#NAME?</v>
      </c>
    </row>
    <row r="693" spans="4:6" x14ac:dyDescent="0.25">
      <c r="D693">
        <f t="shared" si="10"/>
        <v>691</v>
      </c>
      <c r="E693" t="e">
        <f ca="1">RANDOM($B$7)</f>
        <v>#NAME?</v>
      </c>
      <c r="F693" t="e">
        <f ca="1">WEIBULL_INV(E693,$B$4,$B$3)</f>
        <v>#NAME?</v>
      </c>
    </row>
    <row r="694" spans="4:6" x14ac:dyDescent="0.25">
      <c r="D694">
        <f t="shared" si="10"/>
        <v>692</v>
      </c>
      <c r="E694" t="e">
        <f ca="1">RANDOM($B$7)</f>
        <v>#NAME?</v>
      </c>
      <c r="F694" t="e">
        <f ca="1">WEIBULL_INV(E694,$B$4,$B$3)</f>
        <v>#NAME?</v>
      </c>
    </row>
    <row r="695" spans="4:6" x14ac:dyDescent="0.25">
      <c r="D695">
        <f t="shared" si="10"/>
        <v>693</v>
      </c>
      <c r="E695" t="e">
        <f ca="1">RANDOM($B$7)</f>
        <v>#NAME?</v>
      </c>
      <c r="F695" t="e">
        <f ca="1">WEIBULL_INV(E695,$B$4,$B$3)</f>
        <v>#NAME?</v>
      </c>
    </row>
    <row r="696" spans="4:6" x14ac:dyDescent="0.25">
      <c r="D696">
        <f t="shared" si="10"/>
        <v>694</v>
      </c>
      <c r="E696" t="e">
        <f ca="1">RANDOM($B$7)</f>
        <v>#NAME?</v>
      </c>
      <c r="F696" t="e">
        <f ca="1">WEIBULL_INV(E696,$B$4,$B$3)</f>
        <v>#NAME?</v>
      </c>
    </row>
    <row r="697" spans="4:6" x14ac:dyDescent="0.25">
      <c r="D697">
        <f t="shared" si="10"/>
        <v>695</v>
      </c>
      <c r="E697" t="e">
        <f ca="1">RANDOM($B$7)</f>
        <v>#NAME?</v>
      </c>
      <c r="F697" t="e">
        <f ca="1">WEIBULL_INV(E697,$B$4,$B$3)</f>
        <v>#NAME?</v>
      </c>
    </row>
    <row r="698" spans="4:6" x14ac:dyDescent="0.25">
      <c r="D698">
        <f t="shared" si="10"/>
        <v>696</v>
      </c>
      <c r="E698" t="e">
        <f ca="1">RANDOM($B$7)</f>
        <v>#NAME?</v>
      </c>
      <c r="F698" t="e">
        <f ca="1">WEIBULL_INV(E698,$B$4,$B$3)</f>
        <v>#NAME?</v>
      </c>
    </row>
    <row r="699" spans="4:6" x14ac:dyDescent="0.25">
      <c r="D699">
        <f t="shared" si="10"/>
        <v>697</v>
      </c>
      <c r="E699" t="e">
        <f ca="1">RANDOM($B$7)</f>
        <v>#NAME?</v>
      </c>
      <c r="F699" t="e">
        <f ca="1">WEIBULL_INV(E699,$B$4,$B$3)</f>
        <v>#NAME?</v>
      </c>
    </row>
    <row r="700" spans="4:6" x14ac:dyDescent="0.25">
      <c r="D700">
        <f t="shared" si="10"/>
        <v>698</v>
      </c>
      <c r="E700" t="e">
        <f ca="1">RANDOM($B$7)</f>
        <v>#NAME?</v>
      </c>
      <c r="F700" t="e">
        <f ca="1">WEIBULL_INV(E700,$B$4,$B$3)</f>
        <v>#NAME?</v>
      </c>
    </row>
    <row r="701" spans="4:6" x14ac:dyDescent="0.25">
      <c r="D701">
        <f t="shared" si="10"/>
        <v>699</v>
      </c>
      <c r="E701" t="e">
        <f ca="1">RANDOM($B$7)</f>
        <v>#NAME?</v>
      </c>
      <c r="F701" t="e">
        <f ca="1">WEIBULL_INV(E701,$B$4,$B$3)</f>
        <v>#NAME?</v>
      </c>
    </row>
    <row r="702" spans="4:6" x14ac:dyDescent="0.25">
      <c r="D702">
        <f t="shared" si="10"/>
        <v>700</v>
      </c>
      <c r="E702" t="e">
        <f ca="1">RANDOM($B$7)</f>
        <v>#NAME?</v>
      </c>
      <c r="F702" t="e">
        <f ca="1">WEIBULL_INV(E702,$B$4,$B$3)</f>
        <v>#NAME?</v>
      </c>
    </row>
    <row r="703" spans="4:6" x14ac:dyDescent="0.25">
      <c r="D703">
        <f t="shared" si="10"/>
        <v>701</v>
      </c>
      <c r="E703" t="e">
        <f ca="1">RANDOM($B$7)</f>
        <v>#NAME?</v>
      </c>
      <c r="F703" t="e">
        <f ca="1">WEIBULL_INV(E703,$B$4,$B$3)</f>
        <v>#NAME?</v>
      </c>
    </row>
    <row r="704" spans="4:6" x14ac:dyDescent="0.25">
      <c r="D704">
        <f t="shared" si="10"/>
        <v>702</v>
      </c>
      <c r="E704" t="e">
        <f ca="1">RANDOM($B$7)</f>
        <v>#NAME?</v>
      </c>
      <c r="F704" t="e">
        <f ca="1">WEIBULL_INV(E704,$B$4,$B$3)</f>
        <v>#NAME?</v>
      </c>
    </row>
    <row r="705" spans="4:6" x14ac:dyDescent="0.25">
      <c r="D705">
        <f t="shared" si="10"/>
        <v>703</v>
      </c>
      <c r="E705" t="e">
        <f ca="1">RANDOM($B$7)</f>
        <v>#NAME?</v>
      </c>
      <c r="F705" t="e">
        <f ca="1">WEIBULL_INV(E705,$B$4,$B$3)</f>
        <v>#NAME?</v>
      </c>
    </row>
    <row r="706" spans="4:6" x14ac:dyDescent="0.25">
      <c r="D706">
        <f t="shared" si="10"/>
        <v>704</v>
      </c>
      <c r="E706" t="e">
        <f ca="1">RANDOM($B$7)</f>
        <v>#NAME?</v>
      </c>
      <c r="F706" t="e">
        <f ca="1">WEIBULL_INV(E706,$B$4,$B$3)</f>
        <v>#NAME?</v>
      </c>
    </row>
    <row r="707" spans="4:6" x14ac:dyDescent="0.25">
      <c r="D707">
        <f t="shared" si="10"/>
        <v>705</v>
      </c>
      <c r="E707" t="e">
        <f ca="1">RANDOM($B$7)</f>
        <v>#NAME?</v>
      </c>
      <c r="F707" t="e">
        <f ca="1">WEIBULL_INV(E707,$B$4,$B$3)</f>
        <v>#NAME?</v>
      </c>
    </row>
    <row r="708" spans="4:6" x14ac:dyDescent="0.25">
      <c r="D708">
        <f t="shared" si="10"/>
        <v>706</v>
      </c>
      <c r="E708" t="e">
        <f ca="1">RANDOM($B$7)</f>
        <v>#NAME?</v>
      </c>
      <c r="F708" t="e">
        <f ca="1">WEIBULL_INV(E708,$B$4,$B$3)</f>
        <v>#NAME?</v>
      </c>
    </row>
    <row r="709" spans="4:6" x14ac:dyDescent="0.25">
      <c r="D709">
        <f t="shared" ref="D709:D772" si="11">D708+1</f>
        <v>707</v>
      </c>
      <c r="E709" t="e">
        <f ca="1">RANDOM($B$7)</f>
        <v>#NAME?</v>
      </c>
      <c r="F709" t="e">
        <f ca="1">WEIBULL_INV(E709,$B$4,$B$3)</f>
        <v>#NAME?</v>
      </c>
    </row>
    <row r="710" spans="4:6" x14ac:dyDescent="0.25">
      <c r="D710">
        <f t="shared" si="11"/>
        <v>708</v>
      </c>
      <c r="E710" t="e">
        <f ca="1">RANDOM($B$7)</f>
        <v>#NAME?</v>
      </c>
      <c r="F710" t="e">
        <f ca="1">WEIBULL_INV(E710,$B$4,$B$3)</f>
        <v>#NAME?</v>
      </c>
    </row>
    <row r="711" spans="4:6" x14ac:dyDescent="0.25">
      <c r="D711">
        <f t="shared" si="11"/>
        <v>709</v>
      </c>
      <c r="E711" t="e">
        <f ca="1">RANDOM($B$7)</f>
        <v>#NAME?</v>
      </c>
      <c r="F711" t="e">
        <f ca="1">WEIBULL_INV(E711,$B$4,$B$3)</f>
        <v>#NAME?</v>
      </c>
    </row>
    <row r="712" spans="4:6" x14ac:dyDescent="0.25">
      <c r="D712">
        <f t="shared" si="11"/>
        <v>710</v>
      </c>
      <c r="E712" t="e">
        <f ca="1">RANDOM($B$7)</f>
        <v>#NAME?</v>
      </c>
      <c r="F712" t="e">
        <f ca="1">WEIBULL_INV(E712,$B$4,$B$3)</f>
        <v>#NAME?</v>
      </c>
    </row>
    <row r="713" spans="4:6" x14ac:dyDescent="0.25">
      <c r="D713">
        <f t="shared" si="11"/>
        <v>711</v>
      </c>
      <c r="E713" t="e">
        <f ca="1">RANDOM($B$7)</f>
        <v>#NAME?</v>
      </c>
      <c r="F713" t="e">
        <f ca="1">WEIBULL_INV(E713,$B$4,$B$3)</f>
        <v>#NAME?</v>
      </c>
    </row>
    <row r="714" spans="4:6" x14ac:dyDescent="0.25">
      <c r="D714">
        <f t="shared" si="11"/>
        <v>712</v>
      </c>
      <c r="E714" t="e">
        <f ca="1">RANDOM($B$7)</f>
        <v>#NAME?</v>
      </c>
      <c r="F714" t="e">
        <f ca="1">WEIBULL_INV(E714,$B$4,$B$3)</f>
        <v>#NAME?</v>
      </c>
    </row>
    <row r="715" spans="4:6" x14ac:dyDescent="0.25">
      <c r="D715">
        <f t="shared" si="11"/>
        <v>713</v>
      </c>
      <c r="E715" t="e">
        <f ca="1">RANDOM($B$7)</f>
        <v>#NAME?</v>
      </c>
      <c r="F715" t="e">
        <f ca="1">WEIBULL_INV(E715,$B$4,$B$3)</f>
        <v>#NAME?</v>
      </c>
    </row>
    <row r="716" spans="4:6" x14ac:dyDescent="0.25">
      <c r="D716">
        <f t="shared" si="11"/>
        <v>714</v>
      </c>
      <c r="E716" t="e">
        <f ca="1">RANDOM($B$7)</f>
        <v>#NAME?</v>
      </c>
      <c r="F716" t="e">
        <f ca="1">WEIBULL_INV(E716,$B$4,$B$3)</f>
        <v>#NAME?</v>
      </c>
    </row>
    <row r="717" spans="4:6" x14ac:dyDescent="0.25">
      <c r="D717">
        <f t="shared" si="11"/>
        <v>715</v>
      </c>
      <c r="E717" t="e">
        <f ca="1">RANDOM($B$7)</f>
        <v>#NAME?</v>
      </c>
      <c r="F717" t="e">
        <f ca="1">WEIBULL_INV(E717,$B$4,$B$3)</f>
        <v>#NAME?</v>
      </c>
    </row>
    <row r="718" spans="4:6" x14ac:dyDescent="0.25">
      <c r="D718">
        <f t="shared" si="11"/>
        <v>716</v>
      </c>
      <c r="E718" t="e">
        <f ca="1">RANDOM($B$7)</f>
        <v>#NAME?</v>
      </c>
      <c r="F718" t="e">
        <f ca="1">WEIBULL_INV(E718,$B$4,$B$3)</f>
        <v>#NAME?</v>
      </c>
    </row>
    <row r="719" spans="4:6" x14ac:dyDescent="0.25">
      <c r="D719">
        <f t="shared" si="11"/>
        <v>717</v>
      </c>
      <c r="E719" t="e">
        <f ca="1">RANDOM($B$7)</f>
        <v>#NAME?</v>
      </c>
      <c r="F719" t="e">
        <f ca="1">WEIBULL_INV(E719,$B$4,$B$3)</f>
        <v>#NAME?</v>
      </c>
    </row>
    <row r="720" spans="4:6" x14ac:dyDescent="0.25">
      <c r="D720">
        <f t="shared" si="11"/>
        <v>718</v>
      </c>
      <c r="E720" t="e">
        <f ca="1">RANDOM($B$7)</f>
        <v>#NAME?</v>
      </c>
      <c r="F720" t="e">
        <f ca="1">WEIBULL_INV(E720,$B$4,$B$3)</f>
        <v>#NAME?</v>
      </c>
    </row>
    <row r="721" spans="4:6" x14ac:dyDescent="0.25">
      <c r="D721">
        <f t="shared" si="11"/>
        <v>719</v>
      </c>
      <c r="E721" t="e">
        <f ca="1">RANDOM($B$7)</f>
        <v>#NAME?</v>
      </c>
      <c r="F721" t="e">
        <f ca="1">WEIBULL_INV(E721,$B$4,$B$3)</f>
        <v>#NAME?</v>
      </c>
    </row>
    <row r="722" spans="4:6" x14ac:dyDescent="0.25">
      <c r="D722">
        <f t="shared" si="11"/>
        <v>720</v>
      </c>
      <c r="E722" t="e">
        <f ca="1">RANDOM($B$7)</f>
        <v>#NAME?</v>
      </c>
      <c r="F722" t="e">
        <f ca="1">WEIBULL_INV(E722,$B$4,$B$3)</f>
        <v>#NAME?</v>
      </c>
    </row>
    <row r="723" spans="4:6" x14ac:dyDescent="0.25">
      <c r="D723">
        <f t="shared" si="11"/>
        <v>721</v>
      </c>
      <c r="E723" t="e">
        <f ca="1">RANDOM($B$7)</f>
        <v>#NAME?</v>
      </c>
      <c r="F723" t="e">
        <f ca="1">WEIBULL_INV(E723,$B$4,$B$3)</f>
        <v>#NAME?</v>
      </c>
    </row>
    <row r="724" spans="4:6" x14ac:dyDescent="0.25">
      <c r="D724">
        <f t="shared" si="11"/>
        <v>722</v>
      </c>
      <c r="E724" t="e">
        <f ca="1">RANDOM($B$7)</f>
        <v>#NAME?</v>
      </c>
      <c r="F724" t="e">
        <f ca="1">WEIBULL_INV(E724,$B$4,$B$3)</f>
        <v>#NAME?</v>
      </c>
    </row>
    <row r="725" spans="4:6" x14ac:dyDescent="0.25">
      <c r="D725">
        <f t="shared" si="11"/>
        <v>723</v>
      </c>
      <c r="E725" t="e">
        <f ca="1">RANDOM($B$7)</f>
        <v>#NAME?</v>
      </c>
      <c r="F725" t="e">
        <f ca="1">WEIBULL_INV(E725,$B$4,$B$3)</f>
        <v>#NAME?</v>
      </c>
    </row>
    <row r="726" spans="4:6" x14ac:dyDescent="0.25">
      <c r="D726">
        <f t="shared" si="11"/>
        <v>724</v>
      </c>
      <c r="E726" t="e">
        <f ca="1">RANDOM($B$7)</f>
        <v>#NAME?</v>
      </c>
      <c r="F726" t="e">
        <f ca="1">WEIBULL_INV(E726,$B$4,$B$3)</f>
        <v>#NAME?</v>
      </c>
    </row>
    <row r="727" spans="4:6" x14ac:dyDescent="0.25">
      <c r="D727">
        <f t="shared" si="11"/>
        <v>725</v>
      </c>
      <c r="E727" t="e">
        <f ca="1">RANDOM($B$7)</f>
        <v>#NAME?</v>
      </c>
      <c r="F727" t="e">
        <f ca="1">WEIBULL_INV(E727,$B$4,$B$3)</f>
        <v>#NAME?</v>
      </c>
    </row>
    <row r="728" spans="4:6" x14ac:dyDescent="0.25">
      <c r="D728">
        <f t="shared" si="11"/>
        <v>726</v>
      </c>
      <c r="E728" t="e">
        <f ca="1">RANDOM($B$7)</f>
        <v>#NAME?</v>
      </c>
      <c r="F728" t="e">
        <f ca="1">WEIBULL_INV(E728,$B$4,$B$3)</f>
        <v>#NAME?</v>
      </c>
    </row>
    <row r="729" spans="4:6" x14ac:dyDescent="0.25">
      <c r="D729">
        <f t="shared" si="11"/>
        <v>727</v>
      </c>
      <c r="E729" t="e">
        <f ca="1">RANDOM($B$7)</f>
        <v>#NAME?</v>
      </c>
      <c r="F729" t="e">
        <f ca="1">WEIBULL_INV(E729,$B$4,$B$3)</f>
        <v>#NAME?</v>
      </c>
    </row>
    <row r="730" spans="4:6" x14ac:dyDescent="0.25">
      <c r="D730">
        <f t="shared" si="11"/>
        <v>728</v>
      </c>
      <c r="E730" t="e">
        <f ca="1">RANDOM($B$7)</f>
        <v>#NAME?</v>
      </c>
      <c r="F730" t="e">
        <f ca="1">WEIBULL_INV(E730,$B$4,$B$3)</f>
        <v>#NAME?</v>
      </c>
    </row>
    <row r="731" spans="4:6" x14ac:dyDescent="0.25">
      <c r="D731">
        <f t="shared" si="11"/>
        <v>729</v>
      </c>
      <c r="E731" t="e">
        <f ca="1">RANDOM($B$7)</f>
        <v>#NAME?</v>
      </c>
      <c r="F731" t="e">
        <f ca="1">WEIBULL_INV(E731,$B$4,$B$3)</f>
        <v>#NAME?</v>
      </c>
    </row>
    <row r="732" spans="4:6" x14ac:dyDescent="0.25">
      <c r="D732">
        <f t="shared" si="11"/>
        <v>730</v>
      </c>
      <c r="E732" t="e">
        <f ca="1">RANDOM($B$7)</f>
        <v>#NAME?</v>
      </c>
      <c r="F732" t="e">
        <f ca="1">WEIBULL_INV(E732,$B$4,$B$3)</f>
        <v>#NAME?</v>
      </c>
    </row>
    <row r="733" spans="4:6" x14ac:dyDescent="0.25">
      <c r="D733">
        <f t="shared" si="11"/>
        <v>731</v>
      </c>
      <c r="E733" t="e">
        <f ca="1">RANDOM($B$7)</f>
        <v>#NAME?</v>
      </c>
      <c r="F733" t="e">
        <f ca="1">WEIBULL_INV(E733,$B$4,$B$3)</f>
        <v>#NAME?</v>
      </c>
    </row>
    <row r="734" spans="4:6" x14ac:dyDescent="0.25">
      <c r="D734">
        <f t="shared" si="11"/>
        <v>732</v>
      </c>
      <c r="E734" t="e">
        <f ca="1">RANDOM($B$7)</f>
        <v>#NAME?</v>
      </c>
      <c r="F734" t="e">
        <f ca="1">WEIBULL_INV(E734,$B$4,$B$3)</f>
        <v>#NAME?</v>
      </c>
    </row>
    <row r="735" spans="4:6" x14ac:dyDescent="0.25">
      <c r="D735">
        <f t="shared" si="11"/>
        <v>733</v>
      </c>
      <c r="E735" t="e">
        <f ca="1">RANDOM($B$7)</f>
        <v>#NAME?</v>
      </c>
      <c r="F735" t="e">
        <f ca="1">WEIBULL_INV(E735,$B$4,$B$3)</f>
        <v>#NAME?</v>
      </c>
    </row>
    <row r="736" spans="4:6" x14ac:dyDescent="0.25">
      <c r="D736">
        <f t="shared" si="11"/>
        <v>734</v>
      </c>
      <c r="E736" t="e">
        <f ca="1">RANDOM($B$7)</f>
        <v>#NAME?</v>
      </c>
      <c r="F736" t="e">
        <f ca="1">WEIBULL_INV(E736,$B$4,$B$3)</f>
        <v>#NAME?</v>
      </c>
    </row>
    <row r="737" spans="4:6" x14ac:dyDescent="0.25">
      <c r="D737">
        <f t="shared" si="11"/>
        <v>735</v>
      </c>
      <c r="E737" t="e">
        <f ca="1">RANDOM($B$7)</f>
        <v>#NAME?</v>
      </c>
      <c r="F737" t="e">
        <f ca="1">WEIBULL_INV(E737,$B$4,$B$3)</f>
        <v>#NAME?</v>
      </c>
    </row>
    <row r="738" spans="4:6" x14ac:dyDescent="0.25">
      <c r="D738">
        <f t="shared" si="11"/>
        <v>736</v>
      </c>
      <c r="E738" t="e">
        <f ca="1">RANDOM($B$7)</f>
        <v>#NAME?</v>
      </c>
      <c r="F738" t="e">
        <f ca="1">WEIBULL_INV(E738,$B$4,$B$3)</f>
        <v>#NAME?</v>
      </c>
    </row>
    <row r="739" spans="4:6" x14ac:dyDescent="0.25">
      <c r="D739">
        <f t="shared" si="11"/>
        <v>737</v>
      </c>
      <c r="E739" t="e">
        <f ca="1">RANDOM($B$7)</f>
        <v>#NAME?</v>
      </c>
      <c r="F739" t="e">
        <f ca="1">WEIBULL_INV(E739,$B$4,$B$3)</f>
        <v>#NAME?</v>
      </c>
    </row>
    <row r="740" spans="4:6" x14ac:dyDescent="0.25">
      <c r="D740">
        <f t="shared" si="11"/>
        <v>738</v>
      </c>
      <c r="E740" t="e">
        <f ca="1">RANDOM($B$7)</f>
        <v>#NAME?</v>
      </c>
      <c r="F740" t="e">
        <f ca="1">WEIBULL_INV(E740,$B$4,$B$3)</f>
        <v>#NAME?</v>
      </c>
    </row>
    <row r="741" spans="4:6" x14ac:dyDescent="0.25">
      <c r="D741">
        <f t="shared" si="11"/>
        <v>739</v>
      </c>
      <c r="E741" t="e">
        <f ca="1">RANDOM($B$7)</f>
        <v>#NAME?</v>
      </c>
      <c r="F741" t="e">
        <f ca="1">WEIBULL_INV(E741,$B$4,$B$3)</f>
        <v>#NAME?</v>
      </c>
    </row>
    <row r="742" spans="4:6" x14ac:dyDescent="0.25">
      <c r="D742">
        <f t="shared" si="11"/>
        <v>740</v>
      </c>
      <c r="E742" t="e">
        <f ca="1">RANDOM($B$7)</f>
        <v>#NAME?</v>
      </c>
      <c r="F742" t="e">
        <f ca="1">WEIBULL_INV(E742,$B$4,$B$3)</f>
        <v>#NAME?</v>
      </c>
    </row>
    <row r="743" spans="4:6" x14ac:dyDescent="0.25">
      <c r="D743">
        <f t="shared" si="11"/>
        <v>741</v>
      </c>
      <c r="E743" t="e">
        <f ca="1">RANDOM($B$7)</f>
        <v>#NAME?</v>
      </c>
      <c r="F743" t="e">
        <f ca="1">WEIBULL_INV(E743,$B$4,$B$3)</f>
        <v>#NAME?</v>
      </c>
    </row>
    <row r="744" spans="4:6" x14ac:dyDescent="0.25">
      <c r="D744">
        <f t="shared" si="11"/>
        <v>742</v>
      </c>
      <c r="E744" t="e">
        <f ca="1">RANDOM($B$7)</f>
        <v>#NAME?</v>
      </c>
      <c r="F744" t="e">
        <f ca="1">WEIBULL_INV(E744,$B$4,$B$3)</f>
        <v>#NAME?</v>
      </c>
    </row>
    <row r="745" spans="4:6" x14ac:dyDescent="0.25">
      <c r="D745">
        <f t="shared" si="11"/>
        <v>743</v>
      </c>
      <c r="E745" t="e">
        <f ca="1">RANDOM($B$7)</f>
        <v>#NAME?</v>
      </c>
      <c r="F745" t="e">
        <f ca="1">WEIBULL_INV(E745,$B$4,$B$3)</f>
        <v>#NAME?</v>
      </c>
    </row>
    <row r="746" spans="4:6" x14ac:dyDescent="0.25">
      <c r="D746">
        <f t="shared" si="11"/>
        <v>744</v>
      </c>
      <c r="E746" t="e">
        <f ca="1">RANDOM($B$7)</f>
        <v>#NAME?</v>
      </c>
      <c r="F746" t="e">
        <f ca="1">WEIBULL_INV(E746,$B$4,$B$3)</f>
        <v>#NAME?</v>
      </c>
    </row>
    <row r="747" spans="4:6" x14ac:dyDescent="0.25">
      <c r="D747">
        <f t="shared" si="11"/>
        <v>745</v>
      </c>
      <c r="E747" t="e">
        <f ca="1">RANDOM($B$7)</f>
        <v>#NAME?</v>
      </c>
      <c r="F747" t="e">
        <f ca="1">WEIBULL_INV(E747,$B$4,$B$3)</f>
        <v>#NAME?</v>
      </c>
    </row>
    <row r="748" spans="4:6" x14ac:dyDescent="0.25">
      <c r="D748">
        <f t="shared" si="11"/>
        <v>746</v>
      </c>
      <c r="E748" t="e">
        <f ca="1">RANDOM($B$7)</f>
        <v>#NAME?</v>
      </c>
      <c r="F748" t="e">
        <f ca="1">WEIBULL_INV(E748,$B$4,$B$3)</f>
        <v>#NAME?</v>
      </c>
    </row>
    <row r="749" spans="4:6" x14ac:dyDescent="0.25">
      <c r="D749">
        <f t="shared" si="11"/>
        <v>747</v>
      </c>
      <c r="E749" t="e">
        <f ca="1">RANDOM($B$7)</f>
        <v>#NAME?</v>
      </c>
      <c r="F749" t="e">
        <f ca="1">WEIBULL_INV(E749,$B$4,$B$3)</f>
        <v>#NAME?</v>
      </c>
    </row>
    <row r="750" spans="4:6" x14ac:dyDescent="0.25">
      <c r="D750">
        <f t="shared" si="11"/>
        <v>748</v>
      </c>
      <c r="E750" t="e">
        <f ca="1">RANDOM($B$7)</f>
        <v>#NAME?</v>
      </c>
      <c r="F750" t="e">
        <f ca="1">WEIBULL_INV(E750,$B$4,$B$3)</f>
        <v>#NAME?</v>
      </c>
    </row>
    <row r="751" spans="4:6" x14ac:dyDescent="0.25">
      <c r="D751">
        <f t="shared" si="11"/>
        <v>749</v>
      </c>
      <c r="E751" t="e">
        <f ca="1">RANDOM($B$7)</f>
        <v>#NAME?</v>
      </c>
      <c r="F751" t="e">
        <f ca="1">WEIBULL_INV(E751,$B$4,$B$3)</f>
        <v>#NAME?</v>
      </c>
    </row>
    <row r="752" spans="4:6" x14ac:dyDescent="0.25">
      <c r="D752">
        <f t="shared" si="11"/>
        <v>750</v>
      </c>
      <c r="E752" t="e">
        <f ca="1">RANDOM($B$7)</f>
        <v>#NAME?</v>
      </c>
      <c r="F752" t="e">
        <f ca="1">WEIBULL_INV(E752,$B$4,$B$3)</f>
        <v>#NAME?</v>
      </c>
    </row>
    <row r="753" spans="4:6" x14ac:dyDescent="0.25">
      <c r="D753">
        <f t="shared" si="11"/>
        <v>751</v>
      </c>
      <c r="E753" t="e">
        <f ca="1">RANDOM($B$7)</f>
        <v>#NAME?</v>
      </c>
      <c r="F753" t="e">
        <f ca="1">WEIBULL_INV(E753,$B$4,$B$3)</f>
        <v>#NAME?</v>
      </c>
    </row>
    <row r="754" spans="4:6" x14ac:dyDescent="0.25">
      <c r="D754">
        <f t="shared" si="11"/>
        <v>752</v>
      </c>
      <c r="E754" t="e">
        <f ca="1">RANDOM($B$7)</f>
        <v>#NAME?</v>
      </c>
      <c r="F754" t="e">
        <f ca="1">WEIBULL_INV(E754,$B$4,$B$3)</f>
        <v>#NAME?</v>
      </c>
    </row>
    <row r="755" spans="4:6" x14ac:dyDescent="0.25">
      <c r="D755">
        <f t="shared" si="11"/>
        <v>753</v>
      </c>
      <c r="E755" t="e">
        <f ca="1">RANDOM($B$7)</f>
        <v>#NAME?</v>
      </c>
      <c r="F755" t="e">
        <f ca="1">WEIBULL_INV(E755,$B$4,$B$3)</f>
        <v>#NAME?</v>
      </c>
    </row>
    <row r="756" spans="4:6" x14ac:dyDescent="0.25">
      <c r="D756">
        <f t="shared" si="11"/>
        <v>754</v>
      </c>
      <c r="E756" t="e">
        <f ca="1">RANDOM($B$7)</f>
        <v>#NAME?</v>
      </c>
      <c r="F756" t="e">
        <f ca="1">WEIBULL_INV(E756,$B$4,$B$3)</f>
        <v>#NAME?</v>
      </c>
    </row>
    <row r="757" spans="4:6" x14ac:dyDescent="0.25">
      <c r="D757">
        <f t="shared" si="11"/>
        <v>755</v>
      </c>
      <c r="E757" t="e">
        <f ca="1">RANDOM($B$7)</f>
        <v>#NAME?</v>
      </c>
      <c r="F757" t="e">
        <f ca="1">WEIBULL_INV(E757,$B$4,$B$3)</f>
        <v>#NAME?</v>
      </c>
    </row>
    <row r="758" spans="4:6" x14ac:dyDescent="0.25">
      <c r="D758">
        <f t="shared" si="11"/>
        <v>756</v>
      </c>
      <c r="E758" t="e">
        <f ca="1">RANDOM($B$7)</f>
        <v>#NAME?</v>
      </c>
      <c r="F758" t="e">
        <f ca="1">WEIBULL_INV(E758,$B$4,$B$3)</f>
        <v>#NAME?</v>
      </c>
    </row>
    <row r="759" spans="4:6" x14ac:dyDescent="0.25">
      <c r="D759">
        <f t="shared" si="11"/>
        <v>757</v>
      </c>
      <c r="E759" t="e">
        <f ca="1">RANDOM($B$7)</f>
        <v>#NAME?</v>
      </c>
      <c r="F759" t="e">
        <f ca="1">WEIBULL_INV(E759,$B$4,$B$3)</f>
        <v>#NAME?</v>
      </c>
    </row>
    <row r="760" spans="4:6" x14ac:dyDescent="0.25">
      <c r="D760">
        <f t="shared" si="11"/>
        <v>758</v>
      </c>
      <c r="E760" t="e">
        <f ca="1">RANDOM($B$7)</f>
        <v>#NAME?</v>
      </c>
      <c r="F760" t="e">
        <f ca="1">WEIBULL_INV(E760,$B$4,$B$3)</f>
        <v>#NAME?</v>
      </c>
    </row>
    <row r="761" spans="4:6" x14ac:dyDescent="0.25">
      <c r="D761">
        <f t="shared" si="11"/>
        <v>759</v>
      </c>
      <c r="E761" t="e">
        <f ca="1">RANDOM($B$7)</f>
        <v>#NAME?</v>
      </c>
      <c r="F761" t="e">
        <f ca="1">WEIBULL_INV(E761,$B$4,$B$3)</f>
        <v>#NAME?</v>
      </c>
    </row>
    <row r="762" spans="4:6" x14ac:dyDescent="0.25">
      <c r="D762">
        <f t="shared" si="11"/>
        <v>760</v>
      </c>
      <c r="E762" t="e">
        <f ca="1">RANDOM($B$7)</f>
        <v>#NAME?</v>
      </c>
      <c r="F762" t="e">
        <f ca="1">WEIBULL_INV(E762,$B$4,$B$3)</f>
        <v>#NAME?</v>
      </c>
    </row>
    <row r="763" spans="4:6" x14ac:dyDescent="0.25">
      <c r="D763">
        <f t="shared" si="11"/>
        <v>761</v>
      </c>
      <c r="E763" t="e">
        <f ca="1">RANDOM($B$7)</f>
        <v>#NAME?</v>
      </c>
      <c r="F763" t="e">
        <f ca="1">WEIBULL_INV(E763,$B$4,$B$3)</f>
        <v>#NAME?</v>
      </c>
    </row>
    <row r="764" spans="4:6" x14ac:dyDescent="0.25">
      <c r="D764">
        <f t="shared" si="11"/>
        <v>762</v>
      </c>
      <c r="E764" t="e">
        <f ca="1">RANDOM($B$7)</f>
        <v>#NAME?</v>
      </c>
      <c r="F764" t="e">
        <f ca="1">WEIBULL_INV(E764,$B$4,$B$3)</f>
        <v>#NAME?</v>
      </c>
    </row>
    <row r="765" spans="4:6" x14ac:dyDescent="0.25">
      <c r="D765">
        <f t="shared" si="11"/>
        <v>763</v>
      </c>
      <c r="E765" t="e">
        <f ca="1">RANDOM($B$7)</f>
        <v>#NAME?</v>
      </c>
      <c r="F765" t="e">
        <f ca="1">WEIBULL_INV(E765,$B$4,$B$3)</f>
        <v>#NAME?</v>
      </c>
    </row>
    <row r="766" spans="4:6" x14ac:dyDescent="0.25">
      <c r="D766">
        <f t="shared" si="11"/>
        <v>764</v>
      </c>
      <c r="E766" t="e">
        <f ca="1">RANDOM($B$7)</f>
        <v>#NAME?</v>
      </c>
      <c r="F766" t="e">
        <f ca="1">WEIBULL_INV(E766,$B$4,$B$3)</f>
        <v>#NAME?</v>
      </c>
    </row>
    <row r="767" spans="4:6" x14ac:dyDescent="0.25">
      <c r="D767">
        <f t="shared" si="11"/>
        <v>765</v>
      </c>
      <c r="E767" t="e">
        <f ca="1">RANDOM($B$7)</f>
        <v>#NAME?</v>
      </c>
      <c r="F767" t="e">
        <f ca="1">WEIBULL_INV(E767,$B$4,$B$3)</f>
        <v>#NAME?</v>
      </c>
    </row>
    <row r="768" spans="4:6" x14ac:dyDescent="0.25">
      <c r="D768">
        <f t="shared" si="11"/>
        <v>766</v>
      </c>
      <c r="E768" t="e">
        <f ca="1">RANDOM($B$7)</f>
        <v>#NAME?</v>
      </c>
      <c r="F768" t="e">
        <f ca="1">WEIBULL_INV(E768,$B$4,$B$3)</f>
        <v>#NAME?</v>
      </c>
    </row>
    <row r="769" spans="4:6" x14ac:dyDescent="0.25">
      <c r="D769">
        <f t="shared" si="11"/>
        <v>767</v>
      </c>
      <c r="E769" t="e">
        <f ca="1">RANDOM($B$7)</f>
        <v>#NAME?</v>
      </c>
      <c r="F769" t="e">
        <f ca="1">WEIBULL_INV(E769,$B$4,$B$3)</f>
        <v>#NAME?</v>
      </c>
    </row>
    <row r="770" spans="4:6" x14ac:dyDescent="0.25">
      <c r="D770">
        <f t="shared" si="11"/>
        <v>768</v>
      </c>
      <c r="E770" t="e">
        <f ca="1">RANDOM($B$7)</f>
        <v>#NAME?</v>
      </c>
      <c r="F770" t="e">
        <f ca="1">WEIBULL_INV(E770,$B$4,$B$3)</f>
        <v>#NAME?</v>
      </c>
    </row>
    <row r="771" spans="4:6" x14ac:dyDescent="0.25">
      <c r="D771">
        <f t="shared" si="11"/>
        <v>769</v>
      </c>
      <c r="E771" t="e">
        <f ca="1">RANDOM($B$7)</f>
        <v>#NAME?</v>
      </c>
      <c r="F771" t="e">
        <f ca="1">WEIBULL_INV(E771,$B$4,$B$3)</f>
        <v>#NAME?</v>
      </c>
    </row>
    <row r="772" spans="4:6" x14ac:dyDescent="0.25">
      <c r="D772">
        <f t="shared" si="11"/>
        <v>770</v>
      </c>
      <c r="E772" t="e">
        <f ca="1">RANDOM($B$7)</f>
        <v>#NAME?</v>
      </c>
      <c r="F772" t="e">
        <f ca="1">WEIBULL_INV(E772,$B$4,$B$3)</f>
        <v>#NAME?</v>
      </c>
    </row>
    <row r="773" spans="4:6" x14ac:dyDescent="0.25">
      <c r="D773">
        <f t="shared" ref="D773:D836" si="12">D772+1</f>
        <v>771</v>
      </c>
      <c r="E773" t="e">
        <f ca="1">RANDOM($B$7)</f>
        <v>#NAME?</v>
      </c>
      <c r="F773" t="e">
        <f ca="1">WEIBULL_INV(E773,$B$4,$B$3)</f>
        <v>#NAME?</v>
      </c>
    </row>
    <row r="774" spans="4:6" x14ac:dyDescent="0.25">
      <c r="D774">
        <f t="shared" si="12"/>
        <v>772</v>
      </c>
      <c r="E774" t="e">
        <f ca="1">RANDOM($B$7)</f>
        <v>#NAME?</v>
      </c>
      <c r="F774" t="e">
        <f ca="1">WEIBULL_INV(E774,$B$4,$B$3)</f>
        <v>#NAME?</v>
      </c>
    </row>
    <row r="775" spans="4:6" x14ac:dyDescent="0.25">
      <c r="D775">
        <f t="shared" si="12"/>
        <v>773</v>
      </c>
      <c r="E775" t="e">
        <f ca="1">RANDOM($B$7)</f>
        <v>#NAME?</v>
      </c>
      <c r="F775" t="e">
        <f ca="1">WEIBULL_INV(E775,$B$4,$B$3)</f>
        <v>#NAME?</v>
      </c>
    </row>
    <row r="776" spans="4:6" x14ac:dyDescent="0.25">
      <c r="D776">
        <f t="shared" si="12"/>
        <v>774</v>
      </c>
      <c r="E776" t="e">
        <f ca="1">RANDOM($B$7)</f>
        <v>#NAME?</v>
      </c>
      <c r="F776" t="e">
        <f ca="1">WEIBULL_INV(E776,$B$4,$B$3)</f>
        <v>#NAME?</v>
      </c>
    </row>
    <row r="777" spans="4:6" x14ac:dyDescent="0.25">
      <c r="D777">
        <f t="shared" si="12"/>
        <v>775</v>
      </c>
      <c r="E777" t="e">
        <f ca="1">RANDOM($B$7)</f>
        <v>#NAME?</v>
      </c>
      <c r="F777" t="e">
        <f ca="1">WEIBULL_INV(E777,$B$4,$B$3)</f>
        <v>#NAME?</v>
      </c>
    </row>
    <row r="778" spans="4:6" x14ac:dyDescent="0.25">
      <c r="D778">
        <f t="shared" si="12"/>
        <v>776</v>
      </c>
      <c r="E778" t="e">
        <f ca="1">RANDOM($B$7)</f>
        <v>#NAME?</v>
      </c>
      <c r="F778" t="e">
        <f ca="1">WEIBULL_INV(E778,$B$4,$B$3)</f>
        <v>#NAME?</v>
      </c>
    </row>
    <row r="779" spans="4:6" x14ac:dyDescent="0.25">
      <c r="D779">
        <f t="shared" si="12"/>
        <v>777</v>
      </c>
      <c r="E779" t="e">
        <f ca="1">RANDOM($B$7)</f>
        <v>#NAME?</v>
      </c>
      <c r="F779" t="e">
        <f ca="1">WEIBULL_INV(E779,$B$4,$B$3)</f>
        <v>#NAME?</v>
      </c>
    </row>
    <row r="780" spans="4:6" x14ac:dyDescent="0.25">
      <c r="D780">
        <f t="shared" si="12"/>
        <v>778</v>
      </c>
      <c r="E780" t="e">
        <f ca="1">RANDOM($B$7)</f>
        <v>#NAME?</v>
      </c>
      <c r="F780" t="e">
        <f ca="1">WEIBULL_INV(E780,$B$4,$B$3)</f>
        <v>#NAME?</v>
      </c>
    </row>
    <row r="781" spans="4:6" x14ac:dyDescent="0.25">
      <c r="D781">
        <f t="shared" si="12"/>
        <v>779</v>
      </c>
      <c r="E781" t="e">
        <f ca="1">RANDOM($B$7)</f>
        <v>#NAME?</v>
      </c>
      <c r="F781" t="e">
        <f ca="1">WEIBULL_INV(E781,$B$4,$B$3)</f>
        <v>#NAME?</v>
      </c>
    </row>
    <row r="782" spans="4:6" x14ac:dyDescent="0.25">
      <c r="D782">
        <f t="shared" si="12"/>
        <v>780</v>
      </c>
      <c r="E782" t="e">
        <f ca="1">RANDOM($B$7)</f>
        <v>#NAME?</v>
      </c>
      <c r="F782" t="e">
        <f ca="1">WEIBULL_INV(E782,$B$4,$B$3)</f>
        <v>#NAME?</v>
      </c>
    </row>
    <row r="783" spans="4:6" x14ac:dyDescent="0.25">
      <c r="D783">
        <f t="shared" si="12"/>
        <v>781</v>
      </c>
      <c r="E783" t="e">
        <f ca="1">RANDOM($B$7)</f>
        <v>#NAME?</v>
      </c>
      <c r="F783" t="e">
        <f ca="1">WEIBULL_INV(E783,$B$4,$B$3)</f>
        <v>#NAME?</v>
      </c>
    </row>
    <row r="784" spans="4:6" x14ac:dyDescent="0.25">
      <c r="D784">
        <f t="shared" si="12"/>
        <v>782</v>
      </c>
      <c r="E784" t="e">
        <f ca="1">RANDOM($B$7)</f>
        <v>#NAME?</v>
      </c>
      <c r="F784" t="e">
        <f ca="1">WEIBULL_INV(E784,$B$4,$B$3)</f>
        <v>#NAME?</v>
      </c>
    </row>
    <row r="785" spans="4:6" x14ac:dyDescent="0.25">
      <c r="D785">
        <f t="shared" si="12"/>
        <v>783</v>
      </c>
      <c r="E785" t="e">
        <f ca="1">RANDOM($B$7)</f>
        <v>#NAME?</v>
      </c>
      <c r="F785" t="e">
        <f ca="1">WEIBULL_INV(E785,$B$4,$B$3)</f>
        <v>#NAME?</v>
      </c>
    </row>
    <row r="786" spans="4:6" x14ac:dyDescent="0.25">
      <c r="D786">
        <f t="shared" si="12"/>
        <v>784</v>
      </c>
      <c r="E786" t="e">
        <f ca="1">RANDOM($B$7)</f>
        <v>#NAME?</v>
      </c>
      <c r="F786" t="e">
        <f ca="1">WEIBULL_INV(E786,$B$4,$B$3)</f>
        <v>#NAME?</v>
      </c>
    </row>
    <row r="787" spans="4:6" x14ac:dyDescent="0.25">
      <c r="D787">
        <f t="shared" si="12"/>
        <v>785</v>
      </c>
      <c r="E787" t="e">
        <f ca="1">RANDOM($B$7)</f>
        <v>#NAME?</v>
      </c>
      <c r="F787" t="e">
        <f ca="1">WEIBULL_INV(E787,$B$4,$B$3)</f>
        <v>#NAME?</v>
      </c>
    </row>
    <row r="788" spans="4:6" x14ac:dyDescent="0.25">
      <c r="D788">
        <f t="shared" si="12"/>
        <v>786</v>
      </c>
      <c r="E788" t="e">
        <f ca="1">RANDOM($B$7)</f>
        <v>#NAME?</v>
      </c>
      <c r="F788" t="e">
        <f ca="1">WEIBULL_INV(E788,$B$4,$B$3)</f>
        <v>#NAME?</v>
      </c>
    </row>
    <row r="789" spans="4:6" x14ac:dyDescent="0.25">
      <c r="D789">
        <f t="shared" si="12"/>
        <v>787</v>
      </c>
      <c r="E789" t="e">
        <f ca="1">RANDOM($B$7)</f>
        <v>#NAME?</v>
      </c>
      <c r="F789" t="e">
        <f ca="1">WEIBULL_INV(E789,$B$4,$B$3)</f>
        <v>#NAME?</v>
      </c>
    </row>
    <row r="790" spans="4:6" x14ac:dyDescent="0.25">
      <c r="D790">
        <f t="shared" si="12"/>
        <v>788</v>
      </c>
      <c r="E790" t="e">
        <f ca="1">RANDOM($B$7)</f>
        <v>#NAME?</v>
      </c>
      <c r="F790" t="e">
        <f ca="1">WEIBULL_INV(E790,$B$4,$B$3)</f>
        <v>#NAME?</v>
      </c>
    </row>
    <row r="791" spans="4:6" x14ac:dyDescent="0.25">
      <c r="D791">
        <f t="shared" si="12"/>
        <v>789</v>
      </c>
      <c r="E791" t="e">
        <f ca="1">RANDOM($B$7)</f>
        <v>#NAME?</v>
      </c>
      <c r="F791" t="e">
        <f ca="1">WEIBULL_INV(E791,$B$4,$B$3)</f>
        <v>#NAME?</v>
      </c>
    </row>
    <row r="792" spans="4:6" x14ac:dyDescent="0.25">
      <c r="D792">
        <f t="shared" si="12"/>
        <v>790</v>
      </c>
      <c r="E792" t="e">
        <f ca="1">RANDOM($B$7)</f>
        <v>#NAME?</v>
      </c>
      <c r="F792" t="e">
        <f ca="1">WEIBULL_INV(E792,$B$4,$B$3)</f>
        <v>#NAME?</v>
      </c>
    </row>
    <row r="793" spans="4:6" x14ac:dyDescent="0.25">
      <c r="D793">
        <f t="shared" si="12"/>
        <v>791</v>
      </c>
      <c r="E793" t="e">
        <f ca="1">RANDOM($B$7)</f>
        <v>#NAME?</v>
      </c>
      <c r="F793" t="e">
        <f ca="1">WEIBULL_INV(E793,$B$4,$B$3)</f>
        <v>#NAME?</v>
      </c>
    </row>
    <row r="794" spans="4:6" x14ac:dyDescent="0.25">
      <c r="D794">
        <f t="shared" si="12"/>
        <v>792</v>
      </c>
      <c r="E794" t="e">
        <f ca="1">RANDOM($B$7)</f>
        <v>#NAME?</v>
      </c>
      <c r="F794" t="e">
        <f ca="1">WEIBULL_INV(E794,$B$4,$B$3)</f>
        <v>#NAME?</v>
      </c>
    </row>
    <row r="795" spans="4:6" x14ac:dyDescent="0.25">
      <c r="D795">
        <f t="shared" si="12"/>
        <v>793</v>
      </c>
      <c r="E795" t="e">
        <f ca="1">RANDOM($B$7)</f>
        <v>#NAME?</v>
      </c>
      <c r="F795" t="e">
        <f ca="1">WEIBULL_INV(E795,$B$4,$B$3)</f>
        <v>#NAME?</v>
      </c>
    </row>
    <row r="796" spans="4:6" x14ac:dyDescent="0.25">
      <c r="D796">
        <f t="shared" si="12"/>
        <v>794</v>
      </c>
      <c r="E796" t="e">
        <f ca="1">RANDOM($B$7)</f>
        <v>#NAME?</v>
      </c>
      <c r="F796" t="e">
        <f ca="1">WEIBULL_INV(E796,$B$4,$B$3)</f>
        <v>#NAME?</v>
      </c>
    </row>
    <row r="797" spans="4:6" x14ac:dyDescent="0.25">
      <c r="D797">
        <f t="shared" si="12"/>
        <v>795</v>
      </c>
      <c r="E797" t="e">
        <f ca="1">RANDOM($B$7)</f>
        <v>#NAME?</v>
      </c>
      <c r="F797" t="e">
        <f ca="1">WEIBULL_INV(E797,$B$4,$B$3)</f>
        <v>#NAME?</v>
      </c>
    </row>
    <row r="798" spans="4:6" x14ac:dyDescent="0.25">
      <c r="D798">
        <f t="shared" si="12"/>
        <v>796</v>
      </c>
      <c r="E798" t="e">
        <f ca="1">RANDOM($B$7)</f>
        <v>#NAME?</v>
      </c>
      <c r="F798" t="e">
        <f ca="1">WEIBULL_INV(E798,$B$4,$B$3)</f>
        <v>#NAME?</v>
      </c>
    </row>
    <row r="799" spans="4:6" x14ac:dyDescent="0.25">
      <c r="D799">
        <f t="shared" si="12"/>
        <v>797</v>
      </c>
      <c r="E799" t="e">
        <f ca="1">RANDOM($B$7)</f>
        <v>#NAME?</v>
      </c>
      <c r="F799" t="e">
        <f ca="1">WEIBULL_INV(E799,$B$4,$B$3)</f>
        <v>#NAME?</v>
      </c>
    </row>
    <row r="800" spans="4:6" x14ac:dyDescent="0.25">
      <c r="D800">
        <f t="shared" si="12"/>
        <v>798</v>
      </c>
      <c r="E800" t="e">
        <f ca="1">RANDOM($B$7)</f>
        <v>#NAME?</v>
      </c>
      <c r="F800" t="e">
        <f ca="1">WEIBULL_INV(E800,$B$4,$B$3)</f>
        <v>#NAME?</v>
      </c>
    </row>
    <row r="801" spans="4:6" x14ac:dyDescent="0.25">
      <c r="D801">
        <f t="shared" si="12"/>
        <v>799</v>
      </c>
      <c r="E801" t="e">
        <f ca="1">RANDOM($B$7)</f>
        <v>#NAME?</v>
      </c>
      <c r="F801" t="e">
        <f ca="1">WEIBULL_INV(E801,$B$4,$B$3)</f>
        <v>#NAME?</v>
      </c>
    </row>
    <row r="802" spans="4:6" x14ac:dyDescent="0.25">
      <c r="D802">
        <f t="shared" si="12"/>
        <v>800</v>
      </c>
      <c r="E802" t="e">
        <f ca="1">RANDOM($B$7)</f>
        <v>#NAME?</v>
      </c>
      <c r="F802" t="e">
        <f ca="1">WEIBULL_INV(E802,$B$4,$B$3)</f>
        <v>#NAME?</v>
      </c>
    </row>
    <row r="803" spans="4:6" x14ac:dyDescent="0.25">
      <c r="D803">
        <f t="shared" si="12"/>
        <v>801</v>
      </c>
      <c r="E803" t="e">
        <f ca="1">RANDOM($B$7)</f>
        <v>#NAME?</v>
      </c>
      <c r="F803" t="e">
        <f ca="1">WEIBULL_INV(E803,$B$4,$B$3)</f>
        <v>#NAME?</v>
      </c>
    </row>
    <row r="804" spans="4:6" x14ac:dyDescent="0.25">
      <c r="D804">
        <f t="shared" si="12"/>
        <v>802</v>
      </c>
      <c r="E804" t="e">
        <f ca="1">RANDOM($B$7)</f>
        <v>#NAME?</v>
      </c>
      <c r="F804" t="e">
        <f ca="1">WEIBULL_INV(E804,$B$4,$B$3)</f>
        <v>#NAME?</v>
      </c>
    </row>
    <row r="805" spans="4:6" x14ac:dyDescent="0.25">
      <c r="D805">
        <f t="shared" si="12"/>
        <v>803</v>
      </c>
      <c r="E805" t="e">
        <f ca="1">RANDOM($B$7)</f>
        <v>#NAME?</v>
      </c>
      <c r="F805" t="e">
        <f ca="1">WEIBULL_INV(E805,$B$4,$B$3)</f>
        <v>#NAME?</v>
      </c>
    </row>
    <row r="806" spans="4:6" x14ac:dyDescent="0.25">
      <c r="D806">
        <f t="shared" si="12"/>
        <v>804</v>
      </c>
      <c r="E806" t="e">
        <f ca="1">RANDOM($B$7)</f>
        <v>#NAME?</v>
      </c>
      <c r="F806" t="e">
        <f ca="1">WEIBULL_INV(E806,$B$4,$B$3)</f>
        <v>#NAME?</v>
      </c>
    </row>
    <row r="807" spans="4:6" x14ac:dyDescent="0.25">
      <c r="D807">
        <f t="shared" si="12"/>
        <v>805</v>
      </c>
      <c r="E807" t="e">
        <f ca="1">RANDOM($B$7)</f>
        <v>#NAME?</v>
      </c>
      <c r="F807" t="e">
        <f ca="1">WEIBULL_INV(E807,$B$4,$B$3)</f>
        <v>#NAME?</v>
      </c>
    </row>
    <row r="808" spans="4:6" x14ac:dyDescent="0.25">
      <c r="D808">
        <f t="shared" si="12"/>
        <v>806</v>
      </c>
      <c r="E808" t="e">
        <f ca="1">RANDOM($B$7)</f>
        <v>#NAME?</v>
      </c>
      <c r="F808" t="e">
        <f ca="1">WEIBULL_INV(E808,$B$4,$B$3)</f>
        <v>#NAME?</v>
      </c>
    </row>
    <row r="809" spans="4:6" x14ac:dyDescent="0.25">
      <c r="D809">
        <f t="shared" si="12"/>
        <v>807</v>
      </c>
      <c r="E809" t="e">
        <f ca="1">RANDOM($B$7)</f>
        <v>#NAME?</v>
      </c>
      <c r="F809" t="e">
        <f ca="1">WEIBULL_INV(E809,$B$4,$B$3)</f>
        <v>#NAME?</v>
      </c>
    </row>
    <row r="810" spans="4:6" x14ac:dyDescent="0.25">
      <c r="D810">
        <f t="shared" si="12"/>
        <v>808</v>
      </c>
      <c r="E810" t="e">
        <f ca="1">RANDOM($B$7)</f>
        <v>#NAME?</v>
      </c>
      <c r="F810" t="e">
        <f ca="1">WEIBULL_INV(E810,$B$4,$B$3)</f>
        <v>#NAME?</v>
      </c>
    </row>
    <row r="811" spans="4:6" x14ac:dyDescent="0.25">
      <c r="D811">
        <f t="shared" si="12"/>
        <v>809</v>
      </c>
      <c r="E811" t="e">
        <f ca="1">RANDOM($B$7)</f>
        <v>#NAME?</v>
      </c>
      <c r="F811" t="e">
        <f ca="1">WEIBULL_INV(E811,$B$4,$B$3)</f>
        <v>#NAME?</v>
      </c>
    </row>
    <row r="812" spans="4:6" x14ac:dyDescent="0.25">
      <c r="D812">
        <f t="shared" si="12"/>
        <v>810</v>
      </c>
      <c r="E812" t="e">
        <f ca="1">RANDOM($B$7)</f>
        <v>#NAME?</v>
      </c>
      <c r="F812" t="e">
        <f ca="1">WEIBULL_INV(E812,$B$4,$B$3)</f>
        <v>#NAME?</v>
      </c>
    </row>
    <row r="813" spans="4:6" x14ac:dyDescent="0.25">
      <c r="D813">
        <f t="shared" si="12"/>
        <v>811</v>
      </c>
      <c r="E813" t="e">
        <f ca="1">RANDOM($B$7)</f>
        <v>#NAME?</v>
      </c>
      <c r="F813" t="e">
        <f ca="1">WEIBULL_INV(E813,$B$4,$B$3)</f>
        <v>#NAME?</v>
      </c>
    </row>
    <row r="814" spans="4:6" x14ac:dyDescent="0.25">
      <c r="D814">
        <f t="shared" si="12"/>
        <v>812</v>
      </c>
      <c r="E814" t="e">
        <f ca="1">RANDOM($B$7)</f>
        <v>#NAME?</v>
      </c>
      <c r="F814" t="e">
        <f ca="1">WEIBULL_INV(E814,$B$4,$B$3)</f>
        <v>#NAME?</v>
      </c>
    </row>
    <row r="815" spans="4:6" x14ac:dyDescent="0.25">
      <c r="D815">
        <f t="shared" si="12"/>
        <v>813</v>
      </c>
      <c r="E815" t="e">
        <f ca="1">RANDOM($B$7)</f>
        <v>#NAME?</v>
      </c>
      <c r="F815" t="e">
        <f ca="1">WEIBULL_INV(E815,$B$4,$B$3)</f>
        <v>#NAME?</v>
      </c>
    </row>
    <row r="816" spans="4:6" x14ac:dyDescent="0.25">
      <c r="D816">
        <f t="shared" si="12"/>
        <v>814</v>
      </c>
      <c r="E816" t="e">
        <f ca="1">RANDOM($B$7)</f>
        <v>#NAME?</v>
      </c>
      <c r="F816" t="e">
        <f ca="1">WEIBULL_INV(E816,$B$4,$B$3)</f>
        <v>#NAME?</v>
      </c>
    </row>
    <row r="817" spans="4:6" x14ac:dyDescent="0.25">
      <c r="D817">
        <f t="shared" si="12"/>
        <v>815</v>
      </c>
      <c r="E817" t="e">
        <f ca="1">RANDOM($B$7)</f>
        <v>#NAME?</v>
      </c>
      <c r="F817" t="e">
        <f ca="1">WEIBULL_INV(E817,$B$4,$B$3)</f>
        <v>#NAME?</v>
      </c>
    </row>
    <row r="818" spans="4:6" x14ac:dyDescent="0.25">
      <c r="D818">
        <f t="shared" si="12"/>
        <v>816</v>
      </c>
      <c r="E818" t="e">
        <f ca="1">RANDOM($B$7)</f>
        <v>#NAME?</v>
      </c>
      <c r="F818" t="e">
        <f ca="1">WEIBULL_INV(E818,$B$4,$B$3)</f>
        <v>#NAME?</v>
      </c>
    </row>
    <row r="819" spans="4:6" x14ac:dyDescent="0.25">
      <c r="D819">
        <f t="shared" si="12"/>
        <v>817</v>
      </c>
      <c r="E819" t="e">
        <f ca="1">RANDOM($B$7)</f>
        <v>#NAME?</v>
      </c>
      <c r="F819" t="e">
        <f ca="1">WEIBULL_INV(E819,$B$4,$B$3)</f>
        <v>#NAME?</v>
      </c>
    </row>
    <row r="820" spans="4:6" x14ac:dyDescent="0.25">
      <c r="D820">
        <f t="shared" si="12"/>
        <v>818</v>
      </c>
      <c r="E820" t="e">
        <f ca="1">RANDOM($B$7)</f>
        <v>#NAME?</v>
      </c>
      <c r="F820" t="e">
        <f ca="1">WEIBULL_INV(E820,$B$4,$B$3)</f>
        <v>#NAME?</v>
      </c>
    </row>
    <row r="821" spans="4:6" x14ac:dyDescent="0.25">
      <c r="D821">
        <f t="shared" si="12"/>
        <v>819</v>
      </c>
      <c r="E821" t="e">
        <f ca="1">RANDOM($B$7)</f>
        <v>#NAME?</v>
      </c>
      <c r="F821" t="e">
        <f ca="1">WEIBULL_INV(E821,$B$4,$B$3)</f>
        <v>#NAME?</v>
      </c>
    </row>
    <row r="822" spans="4:6" x14ac:dyDescent="0.25">
      <c r="D822">
        <f t="shared" si="12"/>
        <v>820</v>
      </c>
      <c r="E822" t="e">
        <f ca="1">RANDOM($B$7)</f>
        <v>#NAME?</v>
      </c>
      <c r="F822" t="e">
        <f ca="1">WEIBULL_INV(E822,$B$4,$B$3)</f>
        <v>#NAME?</v>
      </c>
    </row>
    <row r="823" spans="4:6" x14ac:dyDescent="0.25">
      <c r="D823">
        <f t="shared" si="12"/>
        <v>821</v>
      </c>
      <c r="E823" t="e">
        <f ca="1">RANDOM($B$7)</f>
        <v>#NAME?</v>
      </c>
      <c r="F823" t="e">
        <f ca="1">WEIBULL_INV(E823,$B$4,$B$3)</f>
        <v>#NAME?</v>
      </c>
    </row>
    <row r="824" spans="4:6" x14ac:dyDescent="0.25">
      <c r="D824">
        <f t="shared" si="12"/>
        <v>822</v>
      </c>
      <c r="E824" t="e">
        <f ca="1">RANDOM($B$7)</f>
        <v>#NAME?</v>
      </c>
      <c r="F824" t="e">
        <f ca="1">WEIBULL_INV(E824,$B$4,$B$3)</f>
        <v>#NAME?</v>
      </c>
    </row>
    <row r="825" spans="4:6" x14ac:dyDescent="0.25">
      <c r="D825">
        <f t="shared" si="12"/>
        <v>823</v>
      </c>
      <c r="E825" t="e">
        <f ca="1">RANDOM($B$7)</f>
        <v>#NAME?</v>
      </c>
      <c r="F825" t="e">
        <f ca="1">WEIBULL_INV(E825,$B$4,$B$3)</f>
        <v>#NAME?</v>
      </c>
    </row>
    <row r="826" spans="4:6" x14ac:dyDescent="0.25">
      <c r="D826">
        <f t="shared" si="12"/>
        <v>824</v>
      </c>
      <c r="E826" t="e">
        <f ca="1">RANDOM($B$7)</f>
        <v>#NAME?</v>
      </c>
      <c r="F826" t="e">
        <f ca="1">WEIBULL_INV(E826,$B$4,$B$3)</f>
        <v>#NAME?</v>
      </c>
    </row>
    <row r="827" spans="4:6" x14ac:dyDescent="0.25">
      <c r="D827">
        <f t="shared" si="12"/>
        <v>825</v>
      </c>
      <c r="E827" t="e">
        <f ca="1">RANDOM($B$7)</f>
        <v>#NAME?</v>
      </c>
      <c r="F827" t="e">
        <f ca="1">WEIBULL_INV(E827,$B$4,$B$3)</f>
        <v>#NAME?</v>
      </c>
    </row>
    <row r="828" spans="4:6" x14ac:dyDescent="0.25">
      <c r="D828">
        <f t="shared" si="12"/>
        <v>826</v>
      </c>
      <c r="E828" t="e">
        <f ca="1">RANDOM($B$7)</f>
        <v>#NAME?</v>
      </c>
      <c r="F828" t="e">
        <f ca="1">WEIBULL_INV(E828,$B$4,$B$3)</f>
        <v>#NAME?</v>
      </c>
    </row>
    <row r="829" spans="4:6" x14ac:dyDescent="0.25">
      <c r="D829">
        <f t="shared" si="12"/>
        <v>827</v>
      </c>
      <c r="E829" t="e">
        <f ca="1">RANDOM($B$7)</f>
        <v>#NAME?</v>
      </c>
      <c r="F829" t="e">
        <f ca="1">WEIBULL_INV(E829,$B$4,$B$3)</f>
        <v>#NAME?</v>
      </c>
    </row>
    <row r="830" spans="4:6" x14ac:dyDescent="0.25">
      <c r="D830">
        <f t="shared" si="12"/>
        <v>828</v>
      </c>
      <c r="E830" t="e">
        <f ca="1">RANDOM($B$7)</f>
        <v>#NAME?</v>
      </c>
      <c r="F830" t="e">
        <f ca="1">WEIBULL_INV(E830,$B$4,$B$3)</f>
        <v>#NAME?</v>
      </c>
    </row>
    <row r="831" spans="4:6" x14ac:dyDescent="0.25">
      <c r="D831">
        <f t="shared" si="12"/>
        <v>829</v>
      </c>
      <c r="E831" t="e">
        <f ca="1">RANDOM($B$7)</f>
        <v>#NAME?</v>
      </c>
      <c r="F831" t="e">
        <f ca="1">WEIBULL_INV(E831,$B$4,$B$3)</f>
        <v>#NAME?</v>
      </c>
    </row>
    <row r="832" spans="4:6" x14ac:dyDescent="0.25">
      <c r="D832">
        <f t="shared" si="12"/>
        <v>830</v>
      </c>
      <c r="E832" t="e">
        <f ca="1">RANDOM($B$7)</f>
        <v>#NAME?</v>
      </c>
      <c r="F832" t="e">
        <f ca="1">WEIBULL_INV(E832,$B$4,$B$3)</f>
        <v>#NAME?</v>
      </c>
    </row>
    <row r="833" spans="4:6" x14ac:dyDescent="0.25">
      <c r="D833">
        <f t="shared" si="12"/>
        <v>831</v>
      </c>
      <c r="E833" t="e">
        <f ca="1">RANDOM($B$7)</f>
        <v>#NAME?</v>
      </c>
      <c r="F833" t="e">
        <f ca="1">WEIBULL_INV(E833,$B$4,$B$3)</f>
        <v>#NAME?</v>
      </c>
    </row>
    <row r="834" spans="4:6" x14ac:dyDescent="0.25">
      <c r="D834">
        <f t="shared" si="12"/>
        <v>832</v>
      </c>
      <c r="E834" t="e">
        <f ca="1">RANDOM($B$7)</f>
        <v>#NAME?</v>
      </c>
      <c r="F834" t="e">
        <f ca="1">WEIBULL_INV(E834,$B$4,$B$3)</f>
        <v>#NAME?</v>
      </c>
    </row>
    <row r="835" spans="4:6" x14ac:dyDescent="0.25">
      <c r="D835">
        <f t="shared" si="12"/>
        <v>833</v>
      </c>
      <c r="E835" t="e">
        <f ca="1">RANDOM($B$7)</f>
        <v>#NAME?</v>
      </c>
      <c r="F835" t="e">
        <f ca="1">WEIBULL_INV(E835,$B$4,$B$3)</f>
        <v>#NAME?</v>
      </c>
    </row>
    <row r="836" spans="4:6" x14ac:dyDescent="0.25">
      <c r="D836">
        <f t="shared" si="12"/>
        <v>834</v>
      </c>
      <c r="E836" t="e">
        <f ca="1">RANDOM($B$7)</f>
        <v>#NAME?</v>
      </c>
      <c r="F836" t="e">
        <f ca="1">WEIBULL_INV(E836,$B$4,$B$3)</f>
        <v>#NAME?</v>
      </c>
    </row>
    <row r="837" spans="4:6" x14ac:dyDescent="0.25">
      <c r="D837">
        <f t="shared" ref="D837:D900" si="13">D836+1</f>
        <v>835</v>
      </c>
      <c r="E837" t="e">
        <f ca="1">RANDOM($B$7)</f>
        <v>#NAME?</v>
      </c>
      <c r="F837" t="e">
        <f ca="1">WEIBULL_INV(E837,$B$4,$B$3)</f>
        <v>#NAME?</v>
      </c>
    </row>
    <row r="838" spans="4:6" x14ac:dyDescent="0.25">
      <c r="D838">
        <f t="shared" si="13"/>
        <v>836</v>
      </c>
      <c r="E838" t="e">
        <f ca="1">RANDOM($B$7)</f>
        <v>#NAME?</v>
      </c>
      <c r="F838" t="e">
        <f ca="1">WEIBULL_INV(E838,$B$4,$B$3)</f>
        <v>#NAME?</v>
      </c>
    </row>
    <row r="839" spans="4:6" x14ac:dyDescent="0.25">
      <c r="D839">
        <f t="shared" si="13"/>
        <v>837</v>
      </c>
      <c r="E839" t="e">
        <f ca="1">RANDOM($B$7)</f>
        <v>#NAME?</v>
      </c>
      <c r="F839" t="e">
        <f ca="1">WEIBULL_INV(E839,$B$4,$B$3)</f>
        <v>#NAME?</v>
      </c>
    </row>
    <row r="840" spans="4:6" x14ac:dyDescent="0.25">
      <c r="D840">
        <f t="shared" si="13"/>
        <v>838</v>
      </c>
      <c r="E840" t="e">
        <f ca="1">RANDOM($B$7)</f>
        <v>#NAME?</v>
      </c>
      <c r="F840" t="e">
        <f ca="1">WEIBULL_INV(E840,$B$4,$B$3)</f>
        <v>#NAME?</v>
      </c>
    </row>
    <row r="841" spans="4:6" x14ac:dyDescent="0.25">
      <c r="D841">
        <f t="shared" si="13"/>
        <v>839</v>
      </c>
      <c r="E841" t="e">
        <f ca="1">RANDOM($B$7)</f>
        <v>#NAME?</v>
      </c>
      <c r="F841" t="e">
        <f ca="1">WEIBULL_INV(E841,$B$4,$B$3)</f>
        <v>#NAME?</v>
      </c>
    </row>
    <row r="842" spans="4:6" x14ac:dyDescent="0.25">
      <c r="D842">
        <f t="shared" si="13"/>
        <v>840</v>
      </c>
      <c r="E842" t="e">
        <f ca="1">RANDOM($B$7)</f>
        <v>#NAME?</v>
      </c>
      <c r="F842" t="e">
        <f ca="1">WEIBULL_INV(E842,$B$4,$B$3)</f>
        <v>#NAME?</v>
      </c>
    </row>
    <row r="843" spans="4:6" x14ac:dyDescent="0.25">
      <c r="D843">
        <f t="shared" si="13"/>
        <v>841</v>
      </c>
      <c r="E843" t="e">
        <f ca="1">RANDOM($B$7)</f>
        <v>#NAME?</v>
      </c>
      <c r="F843" t="e">
        <f ca="1">WEIBULL_INV(E843,$B$4,$B$3)</f>
        <v>#NAME?</v>
      </c>
    </row>
    <row r="844" spans="4:6" x14ac:dyDescent="0.25">
      <c r="D844">
        <f t="shared" si="13"/>
        <v>842</v>
      </c>
      <c r="E844" t="e">
        <f ca="1">RANDOM($B$7)</f>
        <v>#NAME?</v>
      </c>
      <c r="F844" t="e">
        <f ca="1">WEIBULL_INV(E844,$B$4,$B$3)</f>
        <v>#NAME?</v>
      </c>
    </row>
    <row r="845" spans="4:6" x14ac:dyDescent="0.25">
      <c r="D845">
        <f t="shared" si="13"/>
        <v>843</v>
      </c>
      <c r="E845" t="e">
        <f ca="1">RANDOM($B$7)</f>
        <v>#NAME?</v>
      </c>
      <c r="F845" t="e">
        <f ca="1">WEIBULL_INV(E845,$B$4,$B$3)</f>
        <v>#NAME?</v>
      </c>
    </row>
    <row r="846" spans="4:6" x14ac:dyDescent="0.25">
      <c r="D846">
        <f t="shared" si="13"/>
        <v>844</v>
      </c>
      <c r="E846" t="e">
        <f ca="1">RANDOM($B$7)</f>
        <v>#NAME?</v>
      </c>
      <c r="F846" t="e">
        <f ca="1">WEIBULL_INV(E846,$B$4,$B$3)</f>
        <v>#NAME?</v>
      </c>
    </row>
    <row r="847" spans="4:6" x14ac:dyDescent="0.25">
      <c r="D847">
        <f t="shared" si="13"/>
        <v>845</v>
      </c>
      <c r="E847" t="e">
        <f ca="1">RANDOM($B$7)</f>
        <v>#NAME?</v>
      </c>
      <c r="F847" t="e">
        <f ca="1">WEIBULL_INV(E847,$B$4,$B$3)</f>
        <v>#NAME?</v>
      </c>
    </row>
    <row r="848" spans="4:6" x14ac:dyDescent="0.25">
      <c r="D848">
        <f t="shared" si="13"/>
        <v>846</v>
      </c>
      <c r="E848" t="e">
        <f ca="1">RANDOM($B$7)</f>
        <v>#NAME?</v>
      </c>
      <c r="F848" t="e">
        <f ca="1">WEIBULL_INV(E848,$B$4,$B$3)</f>
        <v>#NAME?</v>
      </c>
    </row>
    <row r="849" spans="4:6" x14ac:dyDescent="0.25">
      <c r="D849">
        <f t="shared" si="13"/>
        <v>847</v>
      </c>
      <c r="E849" t="e">
        <f ca="1">RANDOM($B$7)</f>
        <v>#NAME?</v>
      </c>
      <c r="F849" t="e">
        <f ca="1">WEIBULL_INV(E849,$B$4,$B$3)</f>
        <v>#NAME?</v>
      </c>
    </row>
    <row r="850" spans="4:6" x14ac:dyDescent="0.25">
      <c r="D850">
        <f t="shared" si="13"/>
        <v>848</v>
      </c>
      <c r="E850" t="e">
        <f ca="1">RANDOM($B$7)</f>
        <v>#NAME?</v>
      </c>
      <c r="F850" t="e">
        <f ca="1">WEIBULL_INV(E850,$B$4,$B$3)</f>
        <v>#NAME?</v>
      </c>
    </row>
    <row r="851" spans="4:6" x14ac:dyDescent="0.25">
      <c r="D851">
        <f t="shared" si="13"/>
        <v>849</v>
      </c>
      <c r="E851" t="e">
        <f ca="1">RANDOM($B$7)</f>
        <v>#NAME?</v>
      </c>
      <c r="F851" t="e">
        <f ca="1">WEIBULL_INV(E851,$B$4,$B$3)</f>
        <v>#NAME?</v>
      </c>
    </row>
    <row r="852" spans="4:6" x14ac:dyDescent="0.25">
      <c r="D852">
        <f t="shared" si="13"/>
        <v>850</v>
      </c>
      <c r="E852" t="e">
        <f ca="1">RANDOM($B$7)</f>
        <v>#NAME?</v>
      </c>
      <c r="F852" t="e">
        <f ca="1">WEIBULL_INV(E852,$B$4,$B$3)</f>
        <v>#NAME?</v>
      </c>
    </row>
    <row r="853" spans="4:6" x14ac:dyDescent="0.25">
      <c r="D853">
        <f t="shared" si="13"/>
        <v>851</v>
      </c>
      <c r="E853" t="e">
        <f ca="1">RANDOM($B$7)</f>
        <v>#NAME?</v>
      </c>
      <c r="F853" t="e">
        <f ca="1">WEIBULL_INV(E853,$B$4,$B$3)</f>
        <v>#NAME?</v>
      </c>
    </row>
    <row r="854" spans="4:6" x14ac:dyDescent="0.25">
      <c r="D854">
        <f t="shared" si="13"/>
        <v>852</v>
      </c>
      <c r="E854" t="e">
        <f ca="1">RANDOM($B$7)</f>
        <v>#NAME?</v>
      </c>
      <c r="F854" t="e">
        <f ca="1">WEIBULL_INV(E854,$B$4,$B$3)</f>
        <v>#NAME?</v>
      </c>
    </row>
    <row r="855" spans="4:6" x14ac:dyDescent="0.25">
      <c r="D855">
        <f t="shared" si="13"/>
        <v>853</v>
      </c>
      <c r="E855" t="e">
        <f ca="1">RANDOM($B$7)</f>
        <v>#NAME?</v>
      </c>
      <c r="F855" t="e">
        <f ca="1">WEIBULL_INV(E855,$B$4,$B$3)</f>
        <v>#NAME?</v>
      </c>
    </row>
    <row r="856" spans="4:6" x14ac:dyDescent="0.25">
      <c r="D856">
        <f t="shared" si="13"/>
        <v>854</v>
      </c>
      <c r="E856" t="e">
        <f ca="1">RANDOM($B$7)</f>
        <v>#NAME?</v>
      </c>
      <c r="F856" t="e">
        <f ca="1">WEIBULL_INV(E856,$B$4,$B$3)</f>
        <v>#NAME?</v>
      </c>
    </row>
    <row r="857" spans="4:6" x14ac:dyDescent="0.25">
      <c r="D857">
        <f t="shared" si="13"/>
        <v>855</v>
      </c>
      <c r="E857" t="e">
        <f ca="1">RANDOM($B$7)</f>
        <v>#NAME?</v>
      </c>
      <c r="F857" t="e">
        <f ca="1">WEIBULL_INV(E857,$B$4,$B$3)</f>
        <v>#NAME?</v>
      </c>
    </row>
    <row r="858" spans="4:6" x14ac:dyDescent="0.25">
      <c r="D858">
        <f t="shared" si="13"/>
        <v>856</v>
      </c>
      <c r="E858" t="e">
        <f ca="1">RANDOM($B$7)</f>
        <v>#NAME?</v>
      </c>
      <c r="F858" t="e">
        <f ca="1">WEIBULL_INV(E858,$B$4,$B$3)</f>
        <v>#NAME?</v>
      </c>
    </row>
    <row r="859" spans="4:6" x14ac:dyDescent="0.25">
      <c r="D859">
        <f t="shared" si="13"/>
        <v>857</v>
      </c>
      <c r="E859" t="e">
        <f ca="1">RANDOM($B$7)</f>
        <v>#NAME?</v>
      </c>
      <c r="F859" t="e">
        <f ca="1">WEIBULL_INV(E859,$B$4,$B$3)</f>
        <v>#NAME?</v>
      </c>
    </row>
    <row r="860" spans="4:6" x14ac:dyDescent="0.25">
      <c r="D860">
        <f t="shared" si="13"/>
        <v>858</v>
      </c>
      <c r="E860" t="e">
        <f ca="1">RANDOM($B$7)</f>
        <v>#NAME?</v>
      </c>
      <c r="F860" t="e">
        <f ca="1">WEIBULL_INV(E860,$B$4,$B$3)</f>
        <v>#NAME?</v>
      </c>
    </row>
    <row r="861" spans="4:6" x14ac:dyDescent="0.25">
      <c r="D861">
        <f t="shared" si="13"/>
        <v>859</v>
      </c>
      <c r="E861" t="e">
        <f ca="1">RANDOM($B$7)</f>
        <v>#NAME?</v>
      </c>
      <c r="F861" t="e">
        <f ca="1">WEIBULL_INV(E861,$B$4,$B$3)</f>
        <v>#NAME?</v>
      </c>
    </row>
    <row r="862" spans="4:6" x14ac:dyDescent="0.25">
      <c r="D862">
        <f t="shared" si="13"/>
        <v>860</v>
      </c>
      <c r="E862" t="e">
        <f ca="1">RANDOM($B$7)</f>
        <v>#NAME?</v>
      </c>
      <c r="F862" t="e">
        <f ca="1">WEIBULL_INV(E862,$B$4,$B$3)</f>
        <v>#NAME?</v>
      </c>
    </row>
    <row r="863" spans="4:6" x14ac:dyDescent="0.25">
      <c r="D863">
        <f t="shared" si="13"/>
        <v>861</v>
      </c>
      <c r="E863" t="e">
        <f ca="1">RANDOM($B$7)</f>
        <v>#NAME?</v>
      </c>
      <c r="F863" t="e">
        <f ca="1">WEIBULL_INV(E863,$B$4,$B$3)</f>
        <v>#NAME?</v>
      </c>
    </row>
    <row r="864" spans="4:6" x14ac:dyDescent="0.25">
      <c r="D864">
        <f t="shared" si="13"/>
        <v>862</v>
      </c>
      <c r="E864" t="e">
        <f ca="1">RANDOM($B$7)</f>
        <v>#NAME?</v>
      </c>
      <c r="F864" t="e">
        <f ca="1">WEIBULL_INV(E864,$B$4,$B$3)</f>
        <v>#NAME?</v>
      </c>
    </row>
    <row r="865" spans="4:6" x14ac:dyDescent="0.25">
      <c r="D865">
        <f t="shared" si="13"/>
        <v>863</v>
      </c>
      <c r="E865" t="e">
        <f ca="1">RANDOM($B$7)</f>
        <v>#NAME?</v>
      </c>
      <c r="F865" t="e">
        <f ca="1">WEIBULL_INV(E865,$B$4,$B$3)</f>
        <v>#NAME?</v>
      </c>
    </row>
    <row r="866" spans="4:6" x14ac:dyDescent="0.25">
      <c r="D866">
        <f t="shared" si="13"/>
        <v>864</v>
      </c>
      <c r="E866" t="e">
        <f ca="1">RANDOM($B$7)</f>
        <v>#NAME?</v>
      </c>
      <c r="F866" t="e">
        <f ca="1">WEIBULL_INV(E866,$B$4,$B$3)</f>
        <v>#NAME?</v>
      </c>
    </row>
    <row r="867" spans="4:6" x14ac:dyDescent="0.25">
      <c r="D867">
        <f t="shared" si="13"/>
        <v>865</v>
      </c>
      <c r="E867" t="e">
        <f ca="1">RANDOM($B$7)</f>
        <v>#NAME?</v>
      </c>
      <c r="F867" t="e">
        <f ca="1">WEIBULL_INV(E867,$B$4,$B$3)</f>
        <v>#NAME?</v>
      </c>
    </row>
    <row r="868" spans="4:6" x14ac:dyDescent="0.25">
      <c r="D868">
        <f t="shared" si="13"/>
        <v>866</v>
      </c>
      <c r="E868" t="e">
        <f ca="1">RANDOM($B$7)</f>
        <v>#NAME?</v>
      </c>
      <c r="F868" t="e">
        <f ca="1">WEIBULL_INV(E868,$B$4,$B$3)</f>
        <v>#NAME?</v>
      </c>
    </row>
    <row r="869" spans="4:6" x14ac:dyDescent="0.25">
      <c r="D869">
        <f t="shared" si="13"/>
        <v>867</v>
      </c>
      <c r="E869" t="e">
        <f ca="1">RANDOM($B$7)</f>
        <v>#NAME?</v>
      </c>
      <c r="F869" t="e">
        <f ca="1">WEIBULL_INV(E869,$B$4,$B$3)</f>
        <v>#NAME?</v>
      </c>
    </row>
    <row r="870" spans="4:6" x14ac:dyDescent="0.25">
      <c r="D870">
        <f t="shared" si="13"/>
        <v>868</v>
      </c>
      <c r="E870" t="e">
        <f ca="1">RANDOM($B$7)</f>
        <v>#NAME?</v>
      </c>
      <c r="F870" t="e">
        <f ca="1">WEIBULL_INV(E870,$B$4,$B$3)</f>
        <v>#NAME?</v>
      </c>
    </row>
    <row r="871" spans="4:6" x14ac:dyDescent="0.25">
      <c r="D871">
        <f t="shared" si="13"/>
        <v>869</v>
      </c>
      <c r="E871" t="e">
        <f ca="1">RANDOM($B$7)</f>
        <v>#NAME?</v>
      </c>
      <c r="F871" t="e">
        <f ca="1">WEIBULL_INV(E871,$B$4,$B$3)</f>
        <v>#NAME?</v>
      </c>
    </row>
    <row r="872" spans="4:6" x14ac:dyDescent="0.25">
      <c r="D872">
        <f t="shared" si="13"/>
        <v>870</v>
      </c>
      <c r="E872" t="e">
        <f ca="1">RANDOM($B$7)</f>
        <v>#NAME?</v>
      </c>
      <c r="F872" t="e">
        <f ca="1">WEIBULL_INV(E872,$B$4,$B$3)</f>
        <v>#NAME?</v>
      </c>
    </row>
    <row r="873" spans="4:6" x14ac:dyDescent="0.25">
      <c r="D873">
        <f t="shared" si="13"/>
        <v>871</v>
      </c>
      <c r="E873" t="e">
        <f ca="1">RANDOM($B$7)</f>
        <v>#NAME?</v>
      </c>
      <c r="F873" t="e">
        <f ca="1">WEIBULL_INV(E873,$B$4,$B$3)</f>
        <v>#NAME?</v>
      </c>
    </row>
    <row r="874" spans="4:6" x14ac:dyDescent="0.25">
      <c r="D874">
        <f t="shared" si="13"/>
        <v>872</v>
      </c>
      <c r="E874" t="e">
        <f ca="1">RANDOM($B$7)</f>
        <v>#NAME?</v>
      </c>
      <c r="F874" t="e">
        <f ca="1">WEIBULL_INV(E874,$B$4,$B$3)</f>
        <v>#NAME?</v>
      </c>
    </row>
    <row r="875" spans="4:6" x14ac:dyDescent="0.25">
      <c r="D875">
        <f t="shared" si="13"/>
        <v>873</v>
      </c>
      <c r="E875" t="e">
        <f ca="1">RANDOM($B$7)</f>
        <v>#NAME?</v>
      </c>
      <c r="F875" t="e">
        <f ca="1">WEIBULL_INV(E875,$B$4,$B$3)</f>
        <v>#NAME?</v>
      </c>
    </row>
    <row r="876" spans="4:6" x14ac:dyDescent="0.25">
      <c r="D876">
        <f t="shared" si="13"/>
        <v>874</v>
      </c>
      <c r="E876" t="e">
        <f ca="1">RANDOM($B$7)</f>
        <v>#NAME?</v>
      </c>
      <c r="F876" t="e">
        <f ca="1">WEIBULL_INV(E876,$B$4,$B$3)</f>
        <v>#NAME?</v>
      </c>
    </row>
    <row r="877" spans="4:6" x14ac:dyDescent="0.25">
      <c r="D877">
        <f t="shared" si="13"/>
        <v>875</v>
      </c>
      <c r="E877" t="e">
        <f ca="1">RANDOM($B$7)</f>
        <v>#NAME?</v>
      </c>
      <c r="F877" t="e">
        <f ca="1">WEIBULL_INV(E877,$B$4,$B$3)</f>
        <v>#NAME?</v>
      </c>
    </row>
    <row r="878" spans="4:6" x14ac:dyDescent="0.25">
      <c r="D878">
        <f t="shared" si="13"/>
        <v>876</v>
      </c>
      <c r="E878" t="e">
        <f ca="1">RANDOM($B$7)</f>
        <v>#NAME?</v>
      </c>
      <c r="F878" t="e">
        <f ca="1">WEIBULL_INV(E878,$B$4,$B$3)</f>
        <v>#NAME?</v>
      </c>
    </row>
    <row r="879" spans="4:6" x14ac:dyDescent="0.25">
      <c r="D879">
        <f t="shared" si="13"/>
        <v>877</v>
      </c>
      <c r="E879" t="e">
        <f ca="1">RANDOM($B$7)</f>
        <v>#NAME?</v>
      </c>
      <c r="F879" t="e">
        <f ca="1">WEIBULL_INV(E879,$B$4,$B$3)</f>
        <v>#NAME?</v>
      </c>
    </row>
    <row r="880" spans="4:6" x14ac:dyDescent="0.25">
      <c r="D880">
        <f t="shared" si="13"/>
        <v>878</v>
      </c>
      <c r="E880" t="e">
        <f ca="1">RANDOM($B$7)</f>
        <v>#NAME?</v>
      </c>
      <c r="F880" t="e">
        <f ca="1">WEIBULL_INV(E880,$B$4,$B$3)</f>
        <v>#NAME?</v>
      </c>
    </row>
    <row r="881" spans="4:6" x14ac:dyDescent="0.25">
      <c r="D881">
        <f t="shared" si="13"/>
        <v>879</v>
      </c>
      <c r="E881" t="e">
        <f ca="1">RANDOM($B$7)</f>
        <v>#NAME?</v>
      </c>
      <c r="F881" t="e">
        <f ca="1">WEIBULL_INV(E881,$B$4,$B$3)</f>
        <v>#NAME?</v>
      </c>
    </row>
    <row r="882" spans="4:6" x14ac:dyDescent="0.25">
      <c r="D882">
        <f t="shared" si="13"/>
        <v>880</v>
      </c>
      <c r="E882" t="e">
        <f ca="1">RANDOM($B$7)</f>
        <v>#NAME?</v>
      </c>
      <c r="F882" t="e">
        <f ca="1">WEIBULL_INV(E882,$B$4,$B$3)</f>
        <v>#NAME?</v>
      </c>
    </row>
    <row r="883" spans="4:6" x14ac:dyDescent="0.25">
      <c r="D883">
        <f t="shared" si="13"/>
        <v>881</v>
      </c>
      <c r="E883" t="e">
        <f ca="1">RANDOM($B$7)</f>
        <v>#NAME?</v>
      </c>
      <c r="F883" t="e">
        <f ca="1">WEIBULL_INV(E883,$B$4,$B$3)</f>
        <v>#NAME?</v>
      </c>
    </row>
    <row r="884" spans="4:6" x14ac:dyDescent="0.25">
      <c r="D884">
        <f t="shared" si="13"/>
        <v>882</v>
      </c>
      <c r="E884" t="e">
        <f ca="1">RANDOM($B$7)</f>
        <v>#NAME?</v>
      </c>
      <c r="F884" t="e">
        <f ca="1">WEIBULL_INV(E884,$B$4,$B$3)</f>
        <v>#NAME?</v>
      </c>
    </row>
    <row r="885" spans="4:6" x14ac:dyDescent="0.25">
      <c r="D885">
        <f t="shared" si="13"/>
        <v>883</v>
      </c>
      <c r="E885" t="e">
        <f ca="1">RANDOM($B$7)</f>
        <v>#NAME?</v>
      </c>
      <c r="F885" t="e">
        <f ca="1">WEIBULL_INV(E885,$B$4,$B$3)</f>
        <v>#NAME?</v>
      </c>
    </row>
    <row r="886" spans="4:6" x14ac:dyDescent="0.25">
      <c r="D886">
        <f t="shared" si="13"/>
        <v>884</v>
      </c>
      <c r="E886" t="e">
        <f ca="1">RANDOM($B$7)</f>
        <v>#NAME?</v>
      </c>
      <c r="F886" t="e">
        <f ca="1">WEIBULL_INV(E886,$B$4,$B$3)</f>
        <v>#NAME?</v>
      </c>
    </row>
    <row r="887" spans="4:6" x14ac:dyDescent="0.25">
      <c r="D887">
        <f t="shared" si="13"/>
        <v>885</v>
      </c>
      <c r="E887" t="e">
        <f ca="1">RANDOM($B$7)</f>
        <v>#NAME?</v>
      </c>
      <c r="F887" t="e">
        <f ca="1">WEIBULL_INV(E887,$B$4,$B$3)</f>
        <v>#NAME?</v>
      </c>
    </row>
    <row r="888" spans="4:6" x14ac:dyDescent="0.25">
      <c r="D888">
        <f t="shared" si="13"/>
        <v>886</v>
      </c>
      <c r="E888" t="e">
        <f ca="1">RANDOM($B$7)</f>
        <v>#NAME?</v>
      </c>
      <c r="F888" t="e">
        <f ca="1">WEIBULL_INV(E888,$B$4,$B$3)</f>
        <v>#NAME?</v>
      </c>
    </row>
    <row r="889" spans="4:6" x14ac:dyDescent="0.25">
      <c r="D889">
        <f t="shared" si="13"/>
        <v>887</v>
      </c>
      <c r="E889" t="e">
        <f ca="1">RANDOM($B$7)</f>
        <v>#NAME?</v>
      </c>
      <c r="F889" t="e">
        <f ca="1">WEIBULL_INV(E889,$B$4,$B$3)</f>
        <v>#NAME?</v>
      </c>
    </row>
    <row r="890" spans="4:6" x14ac:dyDescent="0.25">
      <c r="D890">
        <f t="shared" si="13"/>
        <v>888</v>
      </c>
      <c r="E890" t="e">
        <f ca="1">RANDOM($B$7)</f>
        <v>#NAME?</v>
      </c>
      <c r="F890" t="e">
        <f ca="1">WEIBULL_INV(E890,$B$4,$B$3)</f>
        <v>#NAME?</v>
      </c>
    </row>
    <row r="891" spans="4:6" x14ac:dyDescent="0.25">
      <c r="D891">
        <f t="shared" si="13"/>
        <v>889</v>
      </c>
      <c r="E891" t="e">
        <f ca="1">RANDOM($B$7)</f>
        <v>#NAME?</v>
      </c>
      <c r="F891" t="e">
        <f ca="1">WEIBULL_INV(E891,$B$4,$B$3)</f>
        <v>#NAME?</v>
      </c>
    </row>
    <row r="892" spans="4:6" x14ac:dyDescent="0.25">
      <c r="D892">
        <f t="shared" si="13"/>
        <v>890</v>
      </c>
      <c r="E892" t="e">
        <f ca="1">RANDOM($B$7)</f>
        <v>#NAME?</v>
      </c>
      <c r="F892" t="e">
        <f ca="1">WEIBULL_INV(E892,$B$4,$B$3)</f>
        <v>#NAME?</v>
      </c>
    </row>
    <row r="893" spans="4:6" x14ac:dyDescent="0.25">
      <c r="D893">
        <f t="shared" si="13"/>
        <v>891</v>
      </c>
      <c r="E893" t="e">
        <f ca="1">RANDOM($B$7)</f>
        <v>#NAME?</v>
      </c>
      <c r="F893" t="e">
        <f ca="1">WEIBULL_INV(E893,$B$4,$B$3)</f>
        <v>#NAME?</v>
      </c>
    </row>
    <row r="894" spans="4:6" x14ac:dyDescent="0.25">
      <c r="D894">
        <f t="shared" si="13"/>
        <v>892</v>
      </c>
      <c r="E894" t="e">
        <f ca="1">RANDOM($B$7)</f>
        <v>#NAME?</v>
      </c>
      <c r="F894" t="e">
        <f ca="1">WEIBULL_INV(E894,$B$4,$B$3)</f>
        <v>#NAME?</v>
      </c>
    </row>
    <row r="895" spans="4:6" x14ac:dyDescent="0.25">
      <c r="D895">
        <f t="shared" si="13"/>
        <v>893</v>
      </c>
      <c r="E895" t="e">
        <f ca="1">RANDOM($B$7)</f>
        <v>#NAME?</v>
      </c>
      <c r="F895" t="e">
        <f ca="1">WEIBULL_INV(E895,$B$4,$B$3)</f>
        <v>#NAME?</v>
      </c>
    </row>
    <row r="896" spans="4:6" x14ac:dyDescent="0.25">
      <c r="D896">
        <f t="shared" si="13"/>
        <v>894</v>
      </c>
      <c r="E896" t="e">
        <f ca="1">RANDOM($B$7)</f>
        <v>#NAME?</v>
      </c>
      <c r="F896" t="e">
        <f ca="1">WEIBULL_INV(E896,$B$4,$B$3)</f>
        <v>#NAME?</v>
      </c>
    </row>
    <row r="897" spans="4:6" x14ac:dyDescent="0.25">
      <c r="D897">
        <f t="shared" si="13"/>
        <v>895</v>
      </c>
      <c r="E897" t="e">
        <f ca="1">RANDOM($B$7)</f>
        <v>#NAME?</v>
      </c>
      <c r="F897" t="e">
        <f ca="1">WEIBULL_INV(E897,$B$4,$B$3)</f>
        <v>#NAME?</v>
      </c>
    </row>
    <row r="898" spans="4:6" x14ac:dyDescent="0.25">
      <c r="D898">
        <f t="shared" si="13"/>
        <v>896</v>
      </c>
      <c r="E898" t="e">
        <f ca="1">RANDOM($B$7)</f>
        <v>#NAME?</v>
      </c>
      <c r="F898" t="e">
        <f ca="1">WEIBULL_INV(E898,$B$4,$B$3)</f>
        <v>#NAME?</v>
      </c>
    </row>
    <row r="899" spans="4:6" x14ac:dyDescent="0.25">
      <c r="D899">
        <f t="shared" si="13"/>
        <v>897</v>
      </c>
      <c r="E899" t="e">
        <f ca="1">RANDOM($B$7)</f>
        <v>#NAME?</v>
      </c>
      <c r="F899" t="e">
        <f ca="1">WEIBULL_INV(E899,$B$4,$B$3)</f>
        <v>#NAME?</v>
      </c>
    </row>
    <row r="900" spans="4:6" x14ac:dyDescent="0.25">
      <c r="D900">
        <f t="shared" si="13"/>
        <v>898</v>
      </c>
      <c r="E900" t="e">
        <f ca="1">RANDOM($B$7)</f>
        <v>#NAME?</v>
      </c>
      <c r="F900" t="e">
        <f ca="1">WEIBULL_INV(E900,$B$4,$B$3)</f>
        <v>#NAME?</v>
      </c>
    </row>
    <row r="901" spans="4:6" x14ac:dyDescent="0.25">
      <c r="D901">
        <f t="shared" ref="D901:D964" si="14">D900+1</f>
        <v>899</v>
      </c>
      <c r="E901" t="e">
        <f ca="1">RANDOM($B$7)</f>
        <v>#NAME?</v>
      </c>
      <c r="F901" t="e">
        <f ca="1">WEIBULL_INV(E901,$B$4,$B$3)</f>
        <v>#NAME?</v>
      </c>
    </row>
    <row r="902" spans="4:6" x14ac:dyDescent="0.25">
      <c r="D902">
        <f t="shared" si="14"/>
        <v>900</v>
      </c>
      <c r="E902" t="e">
        <f ca="1">RANDOM($B$7)</f>
        <v>#NAME?</v>
      </c>
      <c r="F902" t="e">
        <f ca="1">WEIBULL_INV(E902,$B$4,$B$3)</f>
        <v>#NAME?</v>
      </c>
    </row>
    <row r="903" spans="4:6" x14ac:dyDescent="0.25">
      <c r="D903">
        <f t="shared" si="14"/>
        <v>901</v>
      </c>
      <c r="E903" t="e">
        <f ca="1">RANDOM($B$7)</f>
        <v>#NAME?</v>
      </c>
      <c r="F903" t="e">
        <f ca="1">WEIBULL_INV(E903,$B$4,$B$3)</f>
        <v>#NAME?</v>
      </c>
    </row>
    <row r="904" spans="4:6" x14ac:dyDescent="0.25">
      <c r="D904">
        <f t="shared" si="14"/>
        <v>902</v>
      </c>
      <c r="E904" t="e">
        <f ca="1">RANDOM($B$7)</f>
        <v>#NAME?</v>
      </c>
      <c r="F904" t="e">
        <f ca="1">WEIBULL_INV(E904,$B$4,$B$3)</f>
        <v>#NAME?</v>
      </c>
    </row>
    <row r="905" spans="4:6" x14ac:dyDescent="0.25">
      <c r="D905">
        <f t="shared" si="14"/>
        <v>903</v>
      </c>
      <c r="E905" t="e">
        <f ca="1">RANDOM($B$7)</f>
        <v>#NAME?</v>
      </c>
      <c r="F905" t="e">
        <f ca="1">WEIBULL_INV(E905,$B$4,$B$3)</f>
        <v>#NAME?</v>
      </c>
    </row>
    <row r="906" spans="4:6" x14ac:dyDescent="0.25">
      <c r="D906">
        <f t="shared" si="14"/>
        <v>904</v>
      </c>
      <c r="E906" t="e">
        <f ca="1">RANDOM($B$7)</f>
        <v>#NAME?</v>
      </c>
      <c r="F906" t="e">
        <f ca="1">WEIBULL_INV(E906,$B$4,$B$3)</f>
        <v>#NAME?</v>
      </c>
    </row>
    <row r="907" spans="4:6" x14ac:dyDescent="0.25">
      <c r="D907">
        <f t="shared" si="14"/>
        <v>905</v>
      </c>
      <c r="E907" t="e">
        <f ca="1">RANDOM($B$7)</f>
        <v>#NAME?</v>
      </c>
      <c r="F907" t="e">
        <f ca="1">WEIBULL_INV(E907,$B$4,$B$3)</f>
        <v>#NAME?</v>
      </c>
    </row>
    <row r="908" spans="4:6" x14ac:dyDescent="0.25">
      <c r="D908">
        <f t="shared" si="14"/>
        <v>906</v>
      </c>
      <c r="E908" t="e">
        <f ca="1">RANDOM($B$7)</f>
        <v>#NAME?</v>
      </c>
      <c r="F908" t="e">
        <f ca="1">WEIBULL_INV(E908,$B$4,$B$3)</f>
        <v>#NAME?</v>
      </c>
    </row>
    <row r="909" spans="4:6" x14ac:dyDescent="0.25">
      <c r="D909">
        <f t="shared" si="14"/>
        <v>907</v>
      </c>
      <c r="E909" t="e">
        <f ca="1">RANDOM($B$7)</f>
        <v>#NAME?</v>
      </c>
      <c r="F909" t="e">
        <f ca="1">WEIBULL_INV(E909,$B$4,$B$3)</f>
        <v>#NAME?</v>
      </c>
    </row>
    <row r="910" spans="4:6" x14ac:dyDescent="0.25">
      <c r="D910">
        <f t="shared" si="14"/>
        <v>908</v>
      </c>
      <c r="E910" t="e">
        <f ca="1">RANDOM($B$7)</f>
        <v>#NAME?</v>
      </c>
      <c r="F910" t="e">
        <f ca="1">WEIBULL_INV(E910,$B$4,$B$3)</f>
        <v>#NAME?</v>
      </c>
    </row>
    <row r="911" spans="4:6" x14ac:dyDescent="0.25">
      <c r="D911">
        <f t="shared" si="14"/>
        <v>909</v>
      </c>
      <c r="E911" t="e">
        <f ca="1">RANDOM($B$7)</f>
        <v>#NAME?</v>
      </c>
      <c r="F911" t="e">
        <f ca="1">WEIBULL_INV(E911,$B$4,$B$3)</f>
        <v>#NAME?</v>
      </c>
    </row>
    <row r="912" spans="4:6" x14ac:dyDescent="0.25">
      <c r="D912">
        <f t="shared" si="14"/>
        <v>910</v>
      </c>
      <c r="E912" t="e">
        <f ca="1">RANDOM($B$7)</f>
        <v>#NAME?</v>
      </c>
      <c r="F912" t="e">
        <f ca="1">WEIBULL_INV(E912,$B$4,$B$3)</f>
        <v>#NAME?</v>
      </c>
    </row>
    <row r="913" spans="4:6" x14ac:dyDescent="0.25">
      <c r="D913">
        <f t="shared" si="14"/>
        <v>911</v>
      </c>
      <c r="E913" t="e">
        <f ca="1">RANDOM($B$7)</f>
        <v>#NAME?</v>
      </c>
      <c r="F913" t="e">
        <f ca="1">WEIBULL_INV(E913,$B$4,$B$3)</f>
        <v>#NAME?</v>
      </c>
    </row>
    <row r="914" spans="4:6" x14ac:dyDescent="0.25">
      <c r="D914">
        <f t="shared" si="14"/>
        <v>912</v>
      </c>
      <c r="E914" t="e">
        <f ca="1">RANDOM($B$7)</f>
        <v>#NAME?</v>
      </c>
      <c r="F914" t="e">
        <f ca="1">WEIBULL_INV(E914,$B$4,$B$3)</f>
        <v>#NAME?</v>
      </c>
    </row>
    <row r="915" spans="4:6" x14ac:dyDescent="0.25">
      <c r="D915">
        <f t="shared" si="14"/>
        <v>913</v>
      </c>
      <c r="E915" t="e">
        <f ca="1">RANDOM($B$7)</f>
        <v>#NAME?</v>
      </c>
      <c r="F915" t="e">
        <f ca="1">WEIBULL_INV(E915,$B$4,$B$3)</f>
        <v>#NAME?</v>
      </c>
    </row>
    <row r="916" spans="4:6" x14ac:dyDescent="0.25">
      <c r="D916">
        <f t="shared" si="14"/>
        <v>914</v>
      </c>
      <c r="E916" t="e">
        <f ca="1">RANDOM($B$7)</f>
        <v>#NAME?</v>
      </c>
      <c r="F916" t="e">
        <f ca="1">WEIBULL_INV(E916,$B$4,$B$3)</f>
        <v>#NAME?</v>
      </c>
    </row>
    <row r="917" spans="4:6" x14ac:dyDescent="0.25">
      <c r="D917">
        <f t="shared" si="14"/>
        <v>915</v>
      </c>
      <c r="E917" t="e">
        <f ca="1">RANDOM($B$7)</f>
        <v>#NAME?</v>
      </c>
      <c r="F917" t="e">
        <f ca="1">WEIBULL_INV(E917,$B$4,$B$3)</f>
        <v>#NAME?</v>
      </c>
    </row>
    <row r="918" spans="4:6" x14ac:dyDescent="0.25">
      <c r="D918">
        <f t="shared" si="14"/>
        <v>916</v>
      </c>
      <c r="E918" t="e">
        <f ca="1">RANDOM($B$7)</f>
        <v>#NAME?</v>
      </c>
      <c r="F918" t="e">
        <f ca="1">WEIBULL_INV(E918,$B$4,$B$3)</f>
        <v>#NAME?</v>
      </c>
    </row>
    <row r="919" spans="4:6" x14ac:dyDescent="0.25">
      <c r="D919">
        <f t="shared" si="14"/>
        <v>917</v>
      </c>
      <c r="E919" t="e">
        <f ca="1">RANDOM($B$7)</f>
        <v>#NAME?</v>
      </c>
      <c r="F919" t="e">
        <f ca="1">WEIBULL_INV(E919,$B$4,$B$3)</f>
        <v>#NAME?</v>
      </c>
    </row>
    <row r="920" spans="4:6" x14ac:dyDescent="0.25">
      <c r="D920">
        <f t="shared" si="14"/>
        <v>918</v>
      </c>
      <c r="E920" t="e">
        <f ca="1">RANDOM($B$7)</f>
        <v>#NAME?</v>
      </c>
      <c r="F920" t="e">
        <f ca="1">WEIBULL_INV(E920,$B$4,$B$3)</f>
        <v>#NAME?</v>
      </c>
    </row>
    <row r="921" spans="4:6" x14ac:dyDescent="0.25">
      <c r="D921">
        <f t="shared" si="14"/>
        <v>919</v>
      </c>
      <c r="E921" t="e">
        <f ca="1">RANDOM($B$7)</f>
        <v>#NAME?</v>
      </c>
      <c r="F921" t="e">
        <f ca="1">WEIBULL_INV(E921,$B$4,$B$3)</f>
        <v>#NAME?</v>
      </c>
    </row>
    <row r="922" spans="4:6" x14ac:dyDescent="0.25">
      <c r="D922">
        <f t="shared" si="14"/>
        <v>920</v>
      </c>
      <c r="E922" t="e">
        <f ca="1">RANDOM($B$7)</f>
        <v>#NAME?</v>
      </c>
      <c r="F922" t="e">
        <f ca="1">WEIBULL_INV(E922,$B$4,$B$3)</f>
        <v>#NAME?</v>
      </c>
    </row>
    <row r="923" spans="4:6" x14ac:dyDescent="0.25">
      <c r="D923">
        <f t="shared" si="14"/>
        <v>921</v>
      </c>
      <c r="E923" t="e">
        <f ca="1">RANDOM($B$7)</f>
        <v>#NAME?</v>
      </c>
      <c r="F923" t="e">
        <f ca="1">WEIBULL_INV(E923,$B$4,$B$3)</f>
        <v>#NAME?</v>
      </c>
    </row>
    <row r="924" spans="4:6" x14ac:dyDescent="0.25">
      <c r="D924">
        <f t="shared" si="14"/>
        <v>922</v>
      </c>
      <c r="E924" t="e">
        <f ca="1">RANDOM($B$7)</f>
        <v>#NAME?</v>
      </c>
      <c r="F924" t="e">
        <f ca="1">WEIBULL_INV(E924,$B$4,$B$3)</f>
        <v>#NAME?</v>
      </c>
    </row>
    <row r="925" spans="4:6" x14ac:dyDescent="0.25">
      <c r="D925">
        <f t="shared" si="14"/>
        <v>923</v>
      </c>
      <c r="E925" t="e">
        <f ca="1">RANDOM($B$7)</f>
        <v>#NAME?</v>
      </c>
      <c r="F925" t="e">
        <f ca="1">WEIBULL_INV(E925,$B$4,$B$3)</f>
        <v>#NAME?</v>
      </c>
    </row>
    <row r="926" spans="4:6" x14ac:dyDescent="0.25">
      <c r="D926">
        <f t="shared" si="14"/>
        <v>924</v>
      </c>
      <c r="E926" t="e">
        <f ca="1">RANDOM($B$7)</f>
        <v>#NAME?</v>
      </c>
      <c r="F926" t="e">
        <f ca="1">WEIBULL_INV(E926,$B$4,$B$3)</f>
        <v>#NAME?</v>
      </c>
    </row>
    <row r="927" spans="4:6" x14ac:dyDescent="0.25">
      <c r="D927">
        <f t="shared" si="14"/>
        <v>925</v>
      </c>
      <c r="E927" t="e">
        <f ca="1">RANDOM($B$7)</f>
        <v>#NAME?</v>
      </c>
      <c r="F927" t="e">
        <f ca="1">WEIBULL_INV(E927,$B$4,$B$3)</f>
        <v>#NAME?</v>
      </c>
    </row>
    <row r="928" spans="4:6" x14ac:dyDescent="0.25">
      <c r="D928">
        <f t="shared" si="14"/>
        <v>926</v>
      </c>
      <c r="E928" t="e">
        <f ca="1">RANDOM($B$7)</f>
        <v>#NAME?</v>
      </c>
      <c r="F928" t="e">
        <f ca="1">WEIBULL_INV(E928,$B$4,$B$3)</f>
        <v>#NAME?</v>
      </c>
    </row>
    <row r="929" spans="4:6" x14ac:dyDescent="0.25">
      <c r="D929">
        <f t="shared" si="14"/>
        <v>927</v>
      </c>
      <c r="E929" t="e">
        <f ca="1">RANDOM($B$7)</f>
        <v>#NAME?</v>
      </c>
      <c r="F929" t="e">
        <f ca="1">WEIBULL_INV(E929,$B$4,$B$3)</f>
        <v>#NAME?</v>
      </c>
    </row>
    <row r="930" spans="4:6" x14ac:dyDescent="0.25">
      <c r="D930">
        <f t="shared" si="14"/>
        <v>928</v>
      </c>
      <c r="E930" t="e">
        <f ca="1">RANDOM($B$7)</f>
        <v>#NAME?</v>
      </c>
      <c r="F930" t="e">
        <f ca="1">WEIBULL_INV(E930,$B$4,$B$3)</f>
        <v>#NAME?</v>
      </c>
    </row>
    <row r="931" spans="4:6" x14ac:dyDescent="0.25">
      <c r="D931">
        <f t="shared" si="14"/>
        <v>929</v>
      </c>
      <c r="E931" t="e">
        <f ca="1">RANDOM($B$7)</f>
        <v>#NAME?</v>
      </c>
      <c r="F931" t="e">
        <f ca="1">WEIBULL_INV(E931,$B$4,$B$3)</f>
        <v>#NAME?</v>
      </c>
    </row>
    <row r="932" spans="4:6" x14ac:dyDescent="0.25">
      <c r="D932">
        <f t="shared" si="14"/>
        <v>930</v>
      </c>
      <c r="E932" t="e">
        <f ca="1">RANDOM($B$7)</f>
        <v>#NAME?</v>
      </c>
      <c r="F932" t="e">
        <f ca="1">WEIBULL_INV(E932,$B$4,$B$3)</f>
        <v>#NAME?</v>
      </c>
    </row>
    <row r="933" spans="4:6" x14ac:dyDescent="0.25">
      <c r="D933">
        <f t="shared" si="14"/>
        <v>931</v>
      </c>
      <c r="E933" t="e">
        <f ca="1">RANDOM($B$7)</f>
        <v>#NAME?</v>
      </c>
      <c r="F933" t="e">
        <f ca="1">WEIBULL_INV(E933,$B$4,$B$3)</f>
        <v>#NAME?</v>
      </c>
    </row>
    <row r="934" spans="4:6" x14ac:dyDescent="0.25">
      <c r="D934">
        <f t="shared" si="14"/>
        <v>932</v>
      </c>
      <c r="E934" t="e">
        <f ca="1">RANDOM($B$7)</f>
        <v>#NAME?</v>
      </c>
      <c r="F934" t="e">
        <f ca="1">WEIBULL_INV(E934,$B$4,$B$3)</f>
        <v>#NAME?</v>
      </c>
    </row>
    <row r="935" spans="4:6" x14ac:dyDescent="0.25">
      <c r="D935">
        <f t="shared" si="14"/>
        <v>933</v>
      </c>
      <c r="E935" t="e">
        <f ca="1">RANDOM($B$7)</f>
        <v>#NAME?</v>
      </c>
      <c r="F935" t="e">
        <f ca="1">WEIBULL_INV(E935,$B$4,$B$3)</f>
        <v>#NAME?</v>
      </c>
    </row>
    <row r="936" spans="4:6" x14ac:dyDescent="0.25">
      <c r="D936">
        <f t="shared" si="14"/>
        <v>934</v>
      </c>
      <c r="E936" t="e">
        <f ca="1">RANDOM($B$7)</f>
        <v>#NAME?</v>
      </c>
      <c r="F936" t="e">
        <f ca="1">WEIBULL_INV(E936,$B$4,$B$3)</f>
        <v>#NAME?</v>
      </c>
    </row>
    <row r="937" spans="4:6" x14ac:dyDescent="0.25">
      <c r="D937">
        <f t="shared" si="14"/>
        <v>935</v>
      </c>
      <c r="E937" t="e">
        <f ca="1">RANDOM($B$7)</f>
        <v>#NAME?</v>
      </c>
      <c r="F937" t="e">
        <f ca="1">WEIBULL_INV(E937,$B$4,$B$3)</f>
        <v>#NAME?</v>
      </c>
    </row>
    <row r="938" spans="4:6" x14ac:dyDescent="0.25">
      <c r="D938">
        <f t="shared" si="14"/>
        <v>936</v>
      </c>
      <c r="E938" t="e">
        <f ca="1">RANDOM($B$7)</f>
        <v>#NAME?</v>
      </c>
      <c r="F938" t="e">
        <f ca="1">WEIBULL_INV(E938,$B$4,$B$3)</f>
        <v>#NAME?</v>
      </c>
    </row>
    <row r="939" spans="4:6" x14ac:dyDescent="0.25">
      <c r="D939">
        <f t="shared" si="14"/>
        <v>937</v>
      </c>
      <c r="E939" t="e">
        <f ca="1">RANDOM($B$7)</f>
        <v>#NAME?</v>
      </c>
      <c r="F939" t="e">
        <f ca="1">WEIBULL_INV(E939,$B$4,$B$3)</f>
        <v>#NAME?</v>
      </c>
    </row>
    <row r="940" spans="4:6" x14ac:dyDescent="0.25">
      <c r="D940">
        <f t="shared" si="14"/>
        <v>938</v>
      </c>
      <c r="E940" t="e">
        <f ca="1">RANDOM($B$7)</f>
        <v>#NAME?</v>
      </c>
      <c r="F940" t="e">
        <f ca="1">WEIBULL_INV(E940,$B$4,$B$3)</f>
        <v>#NAME?</v>
      </c>
    </row>
    <row r="941" spans="4:6" x14ac:dyDescent="0.25">
      <c r="D941">
        <f t="shared" si="14"/>
        <v>939</v>
      </c>
      <c r="E941" t="e">
        <f ca="1">RANDOM($B$7)</f>
        <v>#NAME?</v>
      </c>
      <c r="F941" t="e">
        <f ca="1">WEIBULL_INV(E941,$B$4,$B$3)</f>
        <v>#NAME?</v>
      </c>
    </row>
    <row r="942" spans="4:6" x14ac:dyDescent="0.25">
      <c r="D942">
        <f t="shared" si="14"/>
        <v>940</v>
      </c>
      <c r="E942" t="e">
        <f ca="1">RANDOM($B$7)</f>
        <v>#NAME?</v>
      </c>
      <c r="F942" t="e">
        <f ca="1">WEIBULL_INV(E942,$B$4,$B$3)</f>
        <v>#NAME?</v>
      </c>
    </row>
    <row r="943" spans="4:6" x14ac:dyDescent="0.25">
      <c r="D943">
        <f t="shared" si="14"/>
        <v>941</v>
      </c>
      <c r="E943" t="e">
        <f ca="1">RANDOM($B$7)</f>
        <v>#NAME?</v>
      </c>
      <c r="F943" t="e">
        <f ca="1">WEIBULL_INV(E943,$B$4,$B$3)</f>
        <v>#NAME?</v>
      </c>
    </row>
    <row r="944" spans="4:6" x14ac:dyDescent="0.25">
      <c r="D944">
        <f t="shared" si="14"/>
        <v>942</v>
      </c>
      <c r="E944" t="e">
        <f ca="1">RANDOM($B$7)</f>
        <v>#NAME?</v>
      </c>
      <c r="F944" t="e">
        <f ca="1">WEIBULL_INV(E944,$B$4,$B$3)</f>
        <v>#NAME?</v>
      </c>
    </row>
    <row r="945" spans="4:6" x14ac:dyDescent="0.25">
      <c r="D945">
        <f t="shared" si="14"/>
        <v>943</v>
      </c>
      <c r="E945" t="e">
        <f ca="1">RANDOM($B$7)</f>
        <v>#NAME?</v>
      </c>
      <c r="F945" t="e">
        <f ca="1">WEIBULL_INV(E945,$B$4,$B$3)</f>
        <v>#NAME?</v>
      </c>
    </row>
    <row r="946" spans="4:6" x14ac:dyDescent="0.25">
      <c r="D946">
        <f t="shared" si="14"/>
        <v>944</v>
      </c>
      <c r="E946" t="e">
        <f ca="1">RANDOM($B$7)</f>
        <v>#NAME?</v>
      </c>
      <c r="F946" t="e">
        <f ca="1">WEIBULL_INV(E946,$B$4,$B$3)</f>
        <v>#NAME?</v>
      </c>
    </row>
    <row r="947" spans="4:6" x14ac:dyDescent="0.25">
      <c r="D947">
        <f t="shared" si="14"/>
        <v>945</v>
      </c>
      <c r="E947" t="e">
        <f ca="1">RANDOM($B$7)</f>
        <v>#NAME?</v>
      </c>
      <c r="F947" t="e">
        <f ca="1">WEIBULL_INV(E947,$B$4,$B$3)</f>
        <v>#NAME?</v>
      </c>
    </row>
    <row r="948" spans="4:6" x14ac:dyDescent="0.25">
      <c r="D948">
        <f t="shared" si="14"/>
        <v>946</v>
      </c>
      <c r="E948" t="e">
        <f ca="1">RANDOM($B$7)</f>
        <v>#NAME?</v>
      </c>
      <c r="F948" t="e">
        <f ca="1">WEIBULL_INV(E948,$B$4,$B$3)</f>
        <v>#NAME?</v>
      </c>
    </row>
    <row r="949" spans="4:6" x14ac:dyDescent="0.25">
      <c r="D949">
        <f t="shared" si="14"/>
        <v>947</v>
      </c>
      <c r="E949" t="e">
        <f ca="1">RANDOM($B$7)</f>
        <v>#NAME?</v>
      </c>
      <c r="F949" t="e">
        <f ca="1">WEIBULL_INV(E949,$B$4,$B$3)</f>
        <v>#NAME?</v>
      </c>
    </row>
    <row r="950" spans="4:6" x14ac:dyDescent="0.25">
      <c r="D950">
        <f t="shared" si="14"/>
        <v>948</v>
      </c>
      <c r="E950" t="e">
        <f ca="1">RANDOM($B$7)</f>
        <v>#NAME?</v>
      </c>
      <c r="F950" t="e">
        <f ca="1">WEIBULL_INV(E950,$B$4,$B$3)</f>
        <v>#NAME?</v>
      </c>
    </row>
    <row r="951" spans="4:6" x14ac:dyDescent="0.25">
      <c r="D951">
        <f t="shared" si="14"/>
        <v>949</v>
      </c>
      <c r="E951" t="e">
        <f ca="1">RANDOM($B$7)</f>
        <v>#NAME?</v>
      </c>
      <c r="F951" t="e">
        <f ca="1">WEIBULL_INV(E951,$B$4,$B$3)</f>
        <v>#NAME?</v>
      </c>
    </row>
    <row r="952" spans="4:6" x14ac:dyDescent="0.25">
      <c r="D952">
        <f t="shared" si="14"/>
        <v>950</v>
      </c>
      <c r="E952" t="e">
        <f ca="1">RANDOM($B$7)</f>
        <v>#NAME?</v>
      </c>
      <c r="F952" t="e">
        <f ca="1">WEIBULL_INV(E952,$B$4,$B$3)</f>
        <v>#NAME?</v>
      </c>
    </row>
    <row r="953" spans="4:6" x14ac:dyDescent="0.25">
      <c r="D953">
        <f t="shared" si="14"/>
        <v>951</v>
      </c>
      <c r="E953" t="e">
        <f ca="1">RANDOM($B$7)</f>
        <v>#NAME?</v>
      </c>
      <c r="F953" t="e">
        <f ca="1">WEIBULL_INV(E953,$B$4,$B$3)</f>
        <v>#NAME?</v>
      </c>
    </row>
    <row r="954" spans="4:6" x14ac:dyDescent="0.25">
      <c r="D954">
        <f t="shared" si="14"/>
        <v>952</v>
      </c>
      <c r="E954" t="e">
        <f ca="1">RANDOM($B$7)</f>
        <v>#NAME?</v>
      </c>
      <c r="F954" t="e">
        <f ca="1">WEIBULL_INV(E954,$B$4,$B$3)</f>
        <v>#NAME?</v>
      </c>
    </row>
    <row r="955" spans="4:6" x14ac:dyDescent="0.25">
      <c r="D955">
        <f t="shared" si="14"/>
        <v>953</v>
      </c>
      <c r="E955" t="e">
        <f ca="1">RANDOM($B$7)</f>
        <v>#NAME?</v>
      </c>
      <c r="F955" t="e">
        <f ca="1">WEIBULL_INV(E955,$B$4,$B$3)</f>
        <v>#NAME?</v>
      </c>
    </row>
    <row r="956" spans="4:6" x14ac:dyDescent="0.25">
      <c r="D956">
        <f t="shared" si="14"/>
        <v>954</v>
      </c>
      <c r="E956" t="e">
        <f ca="1">RANDOM($B$7)</f>
        <v>#NAME?</v>
      </c>
      <c r="F956" t="e">
        <f ca="1">WEIBULL_INV(E956,$B$4,$B$3)</f>
        <v>#NAME?</v>
      </c>
    </row>
    <row r="957" spans="4:6" x14ac:dyDescent="0.25">
      <c r="D957">
        <f t="shared" si="14"/>
        <v>955</v>
      </c>
      <c r="E957" t="e">
        <f ca="1">RANDOM($B$7)</f>
        <v>#NAME?</v>
      </c>
      <c r="F957" t="e">
        <f ca="1">WEIBULL_INV(E957,$B$4,$B$3)</f>
        <v>#NAME?</v>
      </c>
    </row>
    <row r="958" spans="4:6" x14ac:dyDescent="0.25">
      <c r="D958">
        <f t="shared" si="14"/>
        <v>956</v>
      </c>
      <c r="E958" t="e">
        <f ca="1">RANDOM($B$7)</f>
        <v>#NAME?</v>
      </c>
      <c r="F958" t="e">
        <f ca="1">WEIBULL_INV(E958,$B$4,$B$3)</f>
        <v>#NAME?</v>
      </c>
    </row>
    <row r="959" spans="4:6" x14ac:dyDescent="0.25">
      <c r="D959">
        <f t="shared" si="14"/>
        <v>957</v>
      </c>
      <c r="E959" t="e">
        <f ca="1">RANDOM($B$7)</f>
        <v>#NAME?</v>
      </c>
      <c r="F959" t="e">
        <f ca="1">WEIBULL_INV(E959,$B$4,$B$3)</f>
        <v>#NAME?</v>
      </c>
    </row>
    <row r="960" spans="4:6" x14ac:dyDescent="0.25">
      <c r="D960">
        <f t="shared" si="14"/>
        <v>958</v>
      </c>
      <c r="E960" t="e">
        <f ca="1">RANDOM($B$7)</f>
        <v>#NAME?</v>
      </c>
      <c r="F960" t="e">
        <f ca="1">WEIBULL_INV(E960,$B$4,$B$3)</f>
        <v>#NAME?</v>
      </c>
    </row>
    <row r="961" spans="4:6" x14ac:dyDescent="0.25">
      <c r="D961">
        <f t="shared" si="14"/>
        <v>959</v>
      </c>
      <c r="E961" t="e">
        <f ca="1">RANDOM($B$7)</f>
        <v>#NAME?</v>
      </c>
      <c r="F961" t="e">
        <f ca="1">WEIBULL_INV(E961,$B$4,$B$3)</f>
        <v>#NAME?</v>
      </c>
    </row>
    <row r="962" spans="4:6" x14ac:dyDescent="0.25">
      <c r="D962">
        <f t="shared" si="14"/>
        <v>960</v>
      </c>
      <c r="E962" t="e">
        <f ca="1">RANDOM($B$7)</f>
        <v>#NAME?</v>
      </c>
      <c r="F962" t="e">
        <f ca="1">WEIBULL_INV(E962,$B$4,$B$3)</f>
        <v>#NAME?</v>
      </c>
    </row>
    <row r="963" spans="4:6" x14ac:dyDescent="0.25">
      <c r="D963">
        <f t="shared" si="14"/>
        <v>961</v>
      </c>
      <c r="E963" t="e">
        <f ca="1">RANDOM($B$7)</f>
        <v>#NAME?</v>
      </c>
      <c r="F963" t="e">
        <f ca="1">WEIBULL_INV(E963,$B$4,$B$3)</f>
        <v>#NAME?</v>
      </c>
    </row>
    <row r="964" spans="4:6" x14ac:dyDescent="0.25">
      <c r="D964">
        <f t="shared" si="14"/>
        <v>962</v>
      </c>
      <c r="E964" t="e">
        <f ca="1">RANDOM($B$7)</f>
        <v>#NAME?</v>
      </c>
      <c r="F964" t="e">
        <f ca="1">WEIBULL_INV(E964,$B$4,$B$3)</f>
        <v>#NAME?</v>
      </c>
    </row>
    <row r="965" spans="4:6" x14ac:dyDescent="0.25">
      <c r="D965">
        <f t="shared" ref="D965:D1002" si="15">D964+1</f>
        <v>963</v>
      </c>
      <c r="E965" t="e">
        <f ca="1">RANDOM($B$7)</f>
        <v>#NAME?</v>
      </c>
      <c r="F965" t="e">
        <f ca="1">WEIBULL_INV(E965,$B$4,$B$3)</f>
        <v>#NAME?</v>
      </c>
    </row>
    <row r="966" spans="4:6" x14ac:dyDescent="0.25">
      <c r="D966">
        <f t="shared" si="15"/>
        <v>964</v>
      </c>
      <c r="E966" t="e">
        <f ca="1">RANDOM($B$7)</f>
        <v>#NAME?</v>
      </c>
      <c r="F966" t="e">
        <f ca="1">WEIBULL_INV(E966,$B$4,$B$3)</f>
        <v>#NAME?</v>
      </c>
    </row>
    <row r="967" spans="4:6" x14ac:dyDescent="0.25">
      <c r="D967">
        <f t="shared" si="15"/>
        <v>965</v>
      </c>
      <c r="E967" t="e">
        <f ca="1">RANDOM($B$7)</f>
        <v>#NAME?</v>
      </c>
      <c r="F967" t="e">
        <f ca="1">WEIBULL_INV(E967,$B$4,$B$3)</f>
        <v>#NAME?</v>
      </c>
    </row>
    <row r="968" spans="4:6" x14ac:dyDescent="0.25">
      <c r="D968">
        <f t="shared" si="15"/>
        <v>966</v>
      </c>
      <c r="E968" t="e">
        <f ca="1">RANDOM($B$7)</f>
        <v>#NAME?</v>
      </c>
      <c r="F968" t="e">
        <f ca="1">WEIBULL_INV(E968,$B$4,$B$3)</f>
        <v>#NAME?</v>
      </c>
    </row>
    <row r="969" spans="4:6" x14ac:dyDescent="0.25">
      <c r="D969">
        <f t="shared" si="15"/>
        <v>967</v>
      </c>
      <c r="E969" t="e">
        <f ca="1">RANDOM($B$7)</f>
        <v>#NAME?</v>
      </c>
      <c r="F969" t="e">
        <f ca="1">WEIBULL_INV(E969,$B$4,$B$3)</f>
        <v>#NAME?</v>
      </c>
    </row>
    <row r="970" spans="4:6" x14ac:dyDescent="0.25">
      <c r="D970">
        <f t="shared" si="15"/>
        <v>968</v>
      </c>
      <c r="E970" t="e">
        <f ca="1">RANDOM($B$7)</f>
        <v>#NAME?</v>
      </c>
      <c r="F970" t="e">
        <f ca="1">WEIBULL_INV(E970,$B$4,$B$3)</f>
        <v>#NAME?</v>
      </c>
    </row>
    <row r="971" spans="4:6" x14ac:dyDescent="0.25">
      <c r="D971">
        <f t="shared" si="15"/>
        <v>969</v>
      </c>
      <c r="E971" t="e">
        <f ca="1">RANDOM($B$7)</f>
        <v>#NAME?</v>
      </c>
      <c r="F971" t="e">
        <f ca="1">WEIBULL_INV(E971,$B$4,$B$3)</f>
        <v>#NAME?</v>
      </c>
    </row>
    <row r="972" spans="4:6" x14ac:dyDescent="0.25">
      <c r="D972">
        <f t="shared" si="15"/>
        <v>970</v>
      </c>
      <c r="E972" t="e">
        <f ca="1">RANDOM($B$7)</f>
        <v>#NAME?</v>
      </c>
      <c r="F972" t="e">
        <f ca="1">WEIBULL_INV(E972,$B$4,$B$3)</f>
        <v>#NAME?</v>
      </c>
    </row>
    <row r="973" spans="4:6" x14ac:dyDescent="0.25">
      <c r="D973">
        <f t="shared" si="15"/>
        <v>971</v>
      </c>
      <c r="E973" t="e">
        <f ca="1">RANDOM($B$7)</f>
        <v>#NAME?</v>
      </c>
      <c r="F973" t="e">
        <f ca="1">WEIBULL_INV(E973,$B$4,$B$3)</f>
        <v>#NAME?</v>
      </c>
    </row>
    <row r="974" spans="4:6" x14ac:dyDescent="0.25">
      <c r="D974">
        <f t="shared" si="15"/>
        <v>972</v>
      </c>
      <c r="E974" t="e">
        <f ca="1">RANDOM($B$7)</f>
        <v>#NAME?</v>
      </c>
      <c r="F974" t="e">
        <f ca="1">WEIBULL_INV(E974,$B$4,$B$3)</f>
        <v>#NAME?</v>
      </c>
    </row>
    <row r="975" spans="4:6" x14ac:dyDescent="0.25">
      <c r="D975">
        <f t="shared" si="15"/>
        <v>973</v>
      </c>
      <c r="E975" t="e">
        <f ca="1">RANDOM($B$7)</f>
        <v>#NAME?</v>
      </c>
      <c r="F975" t="e">
        <f ca="1">WEIBULL_INV(E975,$B$4,$B$3)</f>
        <v>#NAME?</v>
      </c>
    </row>
    <row r="976" spans="4:6" x14ac:dyDescent="0.25">
      <c r="D976">
        <f t="shared" si="15"/>
        <v>974</v>
      </c>
      <c r="E976" t="e">
        <f ca="1">RANDOM($B$7)</f>
        <v>#NAME?</v>
      </c>
      <c r="F976" t="e">
        <f ca="1">WEIBULL_INV(E976,$B$4,$B$3)</f>
        <v>#NAME?</v>
      </c>
    </row>
    <row r="977" spans="4:6" x14ac:dyDescent="0.25">
      <c r="D977">
        <f t="shared" si="15"/>
        <v>975</v>
      </c>
      <c r="E977" t="e">
        <f ca="1">RANDOM($B$7)</f>
        <v>#NAME?</v>
      </c>
      <c r="F977" t="e">
        <f ca="1">WEIBULL_INV(E977,$B$4,$B$3)</f>
        <v>#NAME?</v>
      </c>
    </row>
    <row r="978" spans="4:6" x14ac:dyDescent="0.25">
      <c r="D978">
        <f t="shared" si="15"/>
        <v>976</v>
      </c>
      <c r="E978" t="e">
        <f ca="1">RANDOM($B$7)</f>
        <v>#NAME?</v>
      </c>
      <c r="F978" t="e">
        <f ca="1">WEIBULL_INV(E978,$B$4,$B$3)</f>
        <v>#NAME?</v>
      </c>
    </row>
    <row r="979" spans="4:6" x14ac:dyDescent="0.25">
      <c r="D979">
        <f t="shared" si="15"/>
        <v>977</v>
      </c>
      <c r="E979" t="e">
        <f ca="1">RANDOM($B$7)</f>
        <v>#NAME?</v>
      </c>
      <c r="F979" t="e">
        <f ca="1">WEIBULL_INV(E979,$B$4,$B$3)</f>
        <v>#NAME?</v>
      </c>
    </row>
    <row r="980" spans="4:6" x14ac:dyDescent="0.25">
      <c r="D980">
        <f t="shared" si="15"/>
        <v>978</v>
      </c>
      <c r="E980" t="e">
        <f ca="1">RANDOM($B$7)</f>
        <v>#NAME?</v>
      </c>
      <c r="F980" t="e">
        <f ca="1">WEIBULL_INV(E980,$B$4,$B$3)</f>
        <v>#NAME?</v>
      </c>
    </row>
    <row r="981" spans="4:6" x14ac:dyDescent="0.25">
      <c r="D981">
        <f t="shared" si="15"/>
        <v>979</v>
      </c>
      <c r="E981" t="e">
        <f ca="1">RANDOM($B$7)</f>
        <v>#NAME?</v>
      </c>
      <c r="F981" t="e">
        <f ca="1">WEIBULL_INV(E981,$B$4,$B$3)</f>
        <v>#NAME?</v>
      </c>
    </row>
    <row r="982" spans="4:6" x14ac:dyDescent="0.25">
      <c r="D982">
        <f t="shared" si="15"/>
        <v>980</v>
      </c>
      <c r="E982" t="e">
        <f ca="1">RANDOM($B$7)</f>
        <v>#NAME?</v>
      </c>
      <c r="F982" t="e">
        <f ca="1">WEIBULL_INV(E982,$B$4,$B$3)</f>
        <v>#NAME?</v>
      </c>
    </row>
    <row r="983" spans="4:6" x14ac:dyDescent="0.25">
      <c r="D983">
        <f t="shared" si="15"/>
        <v>981</v>
      </c>
      <c r="E983" t="e">
        <f ca="1">RANDOM($B$7)</f>
        <v>#NAME?</v>
      </c>
      <c r="F983" t="e">
        <f ca="1">WEIBULL_INV(E983,$B$4,$B$3)</f>
        <v>#NAME?</v>
      </c>
    </row>
    <row r="984" spans="4:6" x14ac:dyDescent="0.25">
      <c r="D984">
        <f t="shared" si="15"/>
        <v>982</v>
      </c>
      <c r="E984" t="e">
        <f ca="1">RANDOM($B$7)</f>
        <v>#NAME?</v>
      </c>
      <c r="F984" t="e">
        <f ca="1">WEIBULL_INV(E984,$B$4,$B$3)</f>
        <v>#NAME?</v>
      </c>
    </row>
    <row r="985" spans="4:6" x14ac:dyDescent="0.25">
      <c r="D985">
        <f t="shared" si="15"/>
        <v>983</v>
      </c>
      <c r="E985" t="e">
        <f ca="1">RANDOM($B$7)</f>
        <v>#NAME?</v>
      </c>
      <c r="F985" t="e">
        <f ca="1">WEIBULL_INV(E985,$B$4,$B$3)</f>
        <v>#NAME?</v>
      </c>
    </row>
    <row r="986" spans="4:6" x14ac:dyDescent="0.25">
      <c r="D986">
        <f t="shared" si="15"/>
        <v>984</v>
      </c>
      <c r="E986" t="e">
        <f ca="1">RANDOM($B$7)</f>
        <v>#NAME?</v>
      </c>
      <c r="F986" t="e">
        <f ca="1">WEIBULL_INV(E986,$B$4,$B$3)</f>
        <v>#NAME?</v>
      </c>
    </row>
    <row r="987" spans="4:6" x14ac:dyDescent="0.25">
      <c r="D987">
        <f t="shared" si="15"/>
        <v>985</v>
      </c>
      <c r="E987" t="e">
        <f ca="1">RANDOM($B$7)</f>
        <v>#NAME?</v>
      </c>
      <c r="F987" t="e">
        <f ca="1">WEIBULL_INV(E987,$B$4,$B$3)</f>
        <v>#NAME?</v>
      </c>
    </row>
    <row r="988" spans="4:6" x14ac:dyDescent="0.25">
      <c r="D988">
        <f t="shared" si="15"/>
        <v>986</v>
      </c>
      <c r="E988" t="e">
        <f ca="1">RANDOM($B$7)</f>
        <v>#NAME?</v>
      </c>
      <c r="F988" t="e">
        <f ca="1">WEIBULL_INV(E988,$B$4,$B$3)</f>
        <v>#NAME?</v>
      </c>
    </row>
    <row r="989" spans="4:6" x14ac:dyDescent="0.25">
      <c r="D989">
        <f t="shared" si="15"/>
        <v>987</v>
      </c>
      <c r="E989" t="e">
        <f ca="1">RANDOM($B$7)</f>
        <v>#NAME?</v>
      </c>
      <c r="F989" t="e">
        <f ca="1">WEIBULL_INV(E989,$B$4,$B$3)</f>
        <v>#NAME?</v>
      </c>
    </row>
    <row r="990" spans="4:6" x14ac:dyDescent="0.25">
      <c r="D990">
        <f t="shared" si="15"/>
        <v>988</v>
      </c>
      <c r="E990" t="e">
        <f ca="1">RANDOM($B$7)</f>
        <v>#NAME?</v>
      </c>
      <c r="F990" t="e">
        <f ca="1">WEIBULL_INV(E990,$B$4,$B$3)</f>
        <v>#NAME?</v>
      </c>
    </row>
    <row r="991" spans="4:6" x14ac:dyDescent="0.25">
      <c r="D991">
        <f t="shared" si="15"/>
        <v>989</v>
      </c>
      <c r="E991" t="e">
        <f ca="1">RANDOM($B$7)</f>
        <v>#NAME?</v>
      </c>
      <c r="F991" t="e">
        <f ca="1">WEIBULL_INV(E991,$B$4,$B$3)</f>
        <v>#NAME?</v>
      </c>
    </row>
    <row r="992" spans="4:6" x14ac:dyDescent="0.25">
      <c r="D992">
        <f t="shared" si="15"/>
        <v>990</v>
      </c>
      <c r="E992" t="e">
        <f ca="1">RANDOM($B$7)</f>
        <v>#NAME?</v>
      </c>
      <c r="F992" t="e">
        <f ca="1">WEIBULL_INV(E992,$B$4,$B$3)</f>
        <v>#NAME?</v>
      </c>
    </row>
    <row r="993" spans="4:6" x14ac:dyDescent="0.25">
      <c r="D993">
        <f t="shared" si="15"/>
        <v>991</v>
      </c>
      <c r="E993" t="e">
        <f ca="1">RANDOM($B$7)</f>
        <v>#NAME?</v>
      </c>
      <c r="F993" t="e">
        <f ca="1">WEIBULL_INV(E993,$B$4,$B$3)</f>
        <v>#NAME?</v>
      </c>
    </row>
    <row r="994" spans="4:6" x14ac:dyDescent="0.25">
      <c r="D994">
        <f t="shared" si="15"/>
        <v>992</v>
      </c>
      <c r="E994" t="e">
        <f ca="1">RANDOM($B$7)</f>
        <v>#NAME?</v>
      </c>
      <c r="F994" t="e">
        <f ca="1">WEIBULL_INV(E994,$B$4,$B$3)</f>
        <v>#NAME?</v>
      </c>
    </row>
    <row r="995" spans="4:6" x14ac:dyDescent="0.25">
      <c r="D995">
        <f t="shared" si="15"/>
        <v>993</v>
      </c>
      <c r="E995" t="e">
        <f ca="1">RANDOM($B$7)</f>
        <v>#NAME?</v>
      </c>
      <c r="F995" t="e">
        <f ca="1">WEIBULL_INV(E995,$B$4,$B$3)</f>
        <v>#NAME?</v>
      </c>
    </row>
    <row r="996" spans="4:6" x14ac:dyDescent="0.25">
      <c r="D996">
        <f t="shared" si="15"/>
        <v>994</v>
      </c>
      <c r="E996" t="e">
        <f ca="1">RANDOM($B$7)</f>
        <v>#NAME?</v>
      </c>
      <c r="F996" t="e">
        <f ca="1">WEIBULL_INV(E996,$B$4,$B$3)</f>
        <v>#NAME?</v>
      </c>
    </row>
    <row r="997" spans="4:6" x14ac:dyDescent="0.25">
      <c r="D997">
        <f t="shared" si="15"/>
        <v>995</v>
      </c>
      <c r="E997" t="e">
        <f ca="1">RANDOM($B$7)</f>
        <v>#NAME?</v>
      </c>
      <c r="F997" t="e">
        <f ca="1">WEIBULL_INV(E997,$B$4,$B$3)</f>
        <v>#NAME?</v>
      </c>
    </row>
    <row r="998" spans="4:6" x14ac:dyDescent="0.25">
      <c r="D998">
        <f t="shared" si="15"/>
        <v>996</v>
      </c>
      <c r="E998" t="e">
        <f ca="1">RANDOM($B$7)</f>
        <v>#NAME?</v>
      </c>
      <c r="F998" t="e">
        <f ca="1">WEIBULL_INV(E998,$B$4,$B$3)</f>
        <v>#NAME?</v>
      </c>
    </row>
    <row r="999" spans="4:6" x14ac:dyDescent="0.25">
      <c r="D999">
        <f t="shared" si="15"/>
        <v>997</v>
      </c>
      <c r="E999" t="e">
        <f ca="1">RANDOM($B$7)</f>
        <v>#NAME?</v>
      </c>
      <c r="F999" t="e">
        <f ca="1">WEIBULL_INV(E999,$B$4,$B$3)</f>
        <v>#NAME?</v>
      </c>
    </row>
    <row r="1000" spans="4:6" x14ac:dyDescent="0.25">
      <c r="D1000">
        <f t="shared" si="15"/>
        <v>998</v>
      </c>
      <c r="E1000" t="e">
        <f ca="1">RANDOM($B$7)</f>
        <v>#NAME?</v>
      </c>
      <c r="F1000" t="e">
        <f ca="1">WEIBULL_INV(E1000,$B$4,$B$3)</f>
        <v>#NAME?</v>
      </c>
    </row>
    <row r="1001" spans="4:6" x14ac:dyDescent="0.25">
      <c r="D1001">
        <f t="shared" si="15"/>
        <v>999</v>
      </c>
      <c r="E1001" t="e">
        <f ca="1">RANDOM($B$7)</f>
        <v>#NAME?</v>
      </c>
      <c r="F1001" t="e">
        <f ca="1">WEIBULL_INV(E1001,$B$4,$B$3)</f>
        <v>#NAME?</v>
      </c>
    </row>
    <row r="1002" spans="4:6" x14ac:dyDescent="0.25">
      <c r="D1002" s="276">
        <f t="shared" si="15"/>
        <v>1000</v>
      </c>
      <c r="E1002" s="276" t="e">
        <f ca="1">RANDOM($B$7)</f>
        <v>#NAME?</v>
      </c>
      <c r="F1002" s="276" t="e">
        <f ca="1">WEIBULL_INV(E1002,$B$4,$B$3)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169</vt:i4>
      </vt:variant>
    </vt:vector>
  </HeadingPairs>
  <TitlesOfParts>
    <vt:vector size="169" baseType="lpstr">
      <vt:lpstr>TOC0</vt:lpstr>
      <vt:lpstr>TOC</vt:lpstr>
      <vt:lpstr>Bar Chart</vt:lpstr>
      <vt:lpstr>Line Chart</vt:lpstr>
      <vt:lpstr>Line Chart 2</vt:lpstr>
      <vt:lpstr>Scatter Chart</vt:lpstr>
      <vt:lpstr>Step Chart</vt:lpstr>
      <vt:lpstr>Array Formula</vt:lpstr>
      <vt:lpstr>Array Function</vt:lpstr>
      <vt:lpstr>Sort Filter</vt:lpstr>
      <vt:lpstr>Seek</vt:lpstr>
      <vt:lpstr>Reformat 1</vt:lpstr>
      <vt:lpstr>Reformat 2</vt:lpstr>
      <vt:lpstr>Sort Rows</vt:lpstr>
      <vt:lpstr>Extract</vt:lpstr>
      <vt:lpstr>Select Col</vt:lpstr>
      <vt:lpstr>Misc</vt:lpstr>
      <vt:lpstr>Step Chart 1</vt:lpstr>
      <vt:lpstr>Prob 0</vt:lpstr>
      <vt:lpstr>Prob 1</vt:lpstr>
      <vt:lpstr>Prob 2</vt:lpstr>
      <vt:lpstr>Central</vt:lpstr>
      <vt:lpstr>Geo Mean</vt:lpstr>
      <vt:lpstr>Var</vt:lpstr>
      <vt:lpstr>Combined</vt:lpstr>
      <vt:lpstr>Combined 2</vt:lpstr>
      <vt:lpstr>SKEW</vt:lpstr>
      <vt:lpstr>Rank 0</vt:lpstr>
      <vt:lpstr>Rank 1</vt:lpstr>
      <vt:lpstr>Rank 2</vt:lpstr>
      <vt:lpstr>Desc 1</vt:lpstr>
      <vt:lpstr>Desc 2</vt:lpstr>
      <vt:lpstr>Freq</vt:lpstr>
      <vt:lpstr>Freq 2</vt:lpstr>
      <vt:lpstr>Histogram</vt:lpstr>
      <vt:lpstr>Box Plot 1</vt:lpstr>
      <vt:lpstr>Box Plot 2</vt:lpstr>
      <vt:lpstr>Box Plot 3</vt:lpstr>
      <vt:lpstr>Box Plot 4</vt:lpstr>
      <vt:lpstr>Box Plot 5</vt:lpstr>
      <vt:lpstr>Box Plot 6</vt:lpstr>
      <vt:lpstr>Dot 1</vt:lpstr>
      <vt:lpstr>Dot 2</vt:lpstr>
      <vt:lpstr>ROC</vt:lpstr>
      <vt:lpstr>ROC 1</vt:lpstr>
      <vt:lpstr>AUC</vt:lpstr>
      <vt:lpstr>Winsor</vt:lpstr>
      <vt:lpstr>Missing</vt:lpstr>
      <vt:lpstr>Diversity 1</vt:lpstr>
      <vt:lpstr>Diversity 2</vt:lpstr>
      <vt:lpstr>Diversity 3</vt:lpstr>
      <vt:lpstr>Power</vt:lpstr>
      <vt:lpstr>Normal 1</vt:lpstr>
      <vt:lpstr>Normal 2</vt:lpstr>
      <vt:lpstr>Log-Norm 1</vt:lpstr>
      <vt:lpstr>Log-Norm 2</vt:lpstr>
      <vt:lpstr>1 Sample Z 1</vt:lpstr>
      <vt:lpstr>1 Sample Z 2</vt:lpstr>
      <vt:lpstr>2 Sample Z</vt:lpstr>
      <vt:lpstr>Uniform Sample</vt:lpstr>
      <vt:lpstr>Poisson Sample</vt:lpstr>
      <vt:lpstr>Simulation 1</vt:lpstr>
      <vt:lpstr>Simulation 2</vt:lpstr>
      <vt:lpstr>Random</vt:lpstr>
      <vt:lpstr>Sampling 1</vt:lpstr>
      <vt:lpstr>Sampling 2</vt:lpstr>
      <vt:lpstr>Norm Power 1</vt:lpstr>
      <vt:lpstr>Norm Power 2</vt:lpstr>
      <vt:lpstr>Norm Power 3</vt:lpstr>
      <vt:lpstr>Norm Power 4</vt:lpstr>
      <vt:lpstr>Norm Power 5</vt:lpstr>
      <vt:lpstr>Outlier</vt:lpstr>
      <vt:lpstr>Outlier 1</vt:lpstr>
      <vt:lpstr>Binomial 1</vt:lpstr>
      <vt:lpstr>Binomial 2</vt:lpstr>
      <vt:lpstr>Binomial 3</vt:lpstr>
      <vt:lpstr>Binomial 4</vt:lpstr>
      <vt:lpstr>Prop</vt:lpstr>
      <vt:lpstr>NegBinom</vt:lpstr>
      <vt:lpstr>Hypgeom</vt:lpstr>
      <vt:lpstr>Beta</vt:lpstr>
      <vt:lpstr>Multinom</vt:lpstr>
      <vt:lpstr>Poisson 1</vt:lpstr>
      <vt:lpstr>Poisson 2</vt:lpstr>
      <vt:lpstr>Poisson 3</vt:lpstr>
      <vt:lpstr>Runs</vt:lpstr>
      <vt:lpstr>Bin Power 1</vt:lpstr>
      <vt:lpstr>Bin Power 2</vt:lpstr>
      <vt:lpstr>Bin Power 3</vt:lpstr>
      <vt:lpstr>Gamma</vt:lpstr>
      <vt:lpstr>Expon</vt:lpstr>
      <vt:lpstr>Expon 1</vt:lpstr>
      <vt:lpstr>Uniform</vt:lpstr>
      <vt:lpstr>Weibull A</vt:lpstr>
      <vt:lpstr>Weibull B</vt:lpstr>
      <vt:lpstr>Weibull</vt:lpstr>
      <vt:lpstr>Weibull 1</vt:lpstr>
      <vt:lpstr>Weibull 2</vt:lpstr>
      <vt:lpstr>Weibull 3</vt:lpstr>
      <vt:lpstr>Fit Exp</vt:lpstr>
      <vt:lpstr>Fit Weibull</vt:lpstr>
      <vt:lpstr>Fit Wei</vt:lpstr>
      <vt:lpstr>Fit Beta</vt:lpstr>
      <vt:lpstr>Fit Uniform</vt:lpstr>
      <vt:lpstr>MLE Wei</vt:lpstr>
      <vt:lpstr>MLE Wei 1</vt:lpstr>
      <vt:lpstr>MLE Wei 2</vt:lpstr>
      <vt:lpstr>MLE Wei 3</vt:lpstr>
      <vt:lpstr>MLE Gamma</vt:lpstr>
      <vt:lpstr>MLE Beta</vt:lpstr>
      <vt:lpstr>MLE Uniform</vt:lpstr>
      <vt:lpstr>Reg Wei</vt:lpstr>
      <vt:lpstr>T Dist</vt:lpstr>
      <vt:lpstr>T Dist 2</vt:lpstr>
      <vt:lpstr>1 Sample T 1</vt:lpstr>
      <vt:lpstr>1 Sample T 2</vt:lpstr>
      <vt:lpstr>1 Sample T 2a</vt:lpstr>
      <vt:lpstr>1 Sample T 3</vt:lpstr>
      <vt:lpstr>T Power 1</vt:lpstr>
      <vt:lpstr>T Power 2</vt:lpstr>
      <vt:lpstr>T Power 3</vt:lpstr>
      <vt:lpstr>T Power 4</vt:lpstr>
      <vt:lpstr>T Power 5</vt:lpstr>
      <vt:lpstr>T Power 6</vt:lpstr>
      <vt:lpstr>2 Sample T 1</vt:lpstr>
      <vt:lpstr>2 Sample T 2</vt:lpstr>
      <vt:lpstr>2 Sample T 3</vt:lpstr>
      <vt:lpstr>2 Sample T 4</vt:lpstr>
      <vt:lpstr>2P Sample T 1</vt:lpstr>
      <vt:lpstr>2P Sample T1a</vt:lpstr>
      <vt:lpstr>2P Sample T 2</vt:lpstr>
      <vt:lpstr>2P Sample T 3</vt:lpstr>
      <vt:lpstr>2P Sample T 3a</vt:lpstr>
      <vt:lpstr>Trim T</vt:lpstr>
      <vt:lpstr>Yuen</vt:lpstr>
      <vt:lpstr>NT 1</vt:lpstr>
      <vt:lpstr>NT 2</vt:lpstr>
      <vt:lpstr>COV 1</vt:lpstr>
      <vt:lpstr>COV 2</vt:lpstr>
      <vt:lpstr>Grubbs</vt:lpstr>
      <vt:lpstr>ESD</vt:lpstr>
      <vt:lpstr>Chi-Sq</vt:lpstr>
      <vt:lpstr>Chi-Sq 0</vt:lpstr>
      <vt:lpstr>Shape</vt:lpstr>
      <vt:lpstr>1 Sample Var</vt:lpstr>
      <vt:lpstr>Good Fit 0</vt:lpstr>
      <vt:lpstr>Good Fit 1</vt:lpstr>
      <vt:lpstr>Good Fit 2</vt:lpstr>
      <vt:lpstr>Good Fit 3</vt:lpstr>
      <vt:lpstr>Dispers</vt:lpstr>
      <vt:lpstr>Chi-Sq 1</vt:lpstr>
      <vt:lpstr>Chi-Sq 2</vt:lpstr>
      <vt:lpstr>Chi-Sq 3</vt:lpstr>
      <vt:lpstr>Chi-Sq 4</vt:lpstr>
      <vt:lpstr>Chi-Sq 5</vt:lpstr>
      <vt:lpstr>Fisher</vt:lpstr>
      <vt:lpstr>Fisher 2</vt:lpstr>
      <vt:lpstr>CMH</vt:lpstr>
      <vt:lpstr>CMH 1</vt:lpstr>
      <vt:lpstr>CMH 2</vt:lpstr>
      <vt:lpstr>F Dist</vt:lpstr>
      <vt:lpstr>F Test</vt:lpstr>
      <vt:lpstr>CI Var Ratio</vt:lpstr>
      <vt:lpstr>NCHI 1</vt:lpstr>
      <vt:lpstr>NCHI 2</vt:lpstr>
      <vt:lpstr>NCHI 3</vt:lpstr>
      <vt:lpstr>Power Var2</vt:lpstr>
      <vt:lpstr>Power Var2a</vt:lpstr>
      <vt:lpstr>NF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</dc:creator>
  <cp:lastModifiedBy>Charles Zaiontz</cp:lastModifiedBy>
  <cp:lastPrinted>2017-06-13T15:59:52Z</cp:lastPrinted>
  <dcterms:created xsi:type="dcterms:W3CDTF">2011-12-03T11:22:59Z</dcterms:created>
  <dcterms:modified xsi:type="dcterms:W3CDTF">2018-05-08T10:43:00Z</dcterms:modified>
</cp:coreProperties>
</file>